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hop HDND 2021-2015\hop chuyen de thang 10-2024\"/>
    </mc:Choice>
  </mc:AlternateContent>
  <bookViews>
    <workbookView xWindow="0" yWindow="0" windowWidth="20490" windowHeight="7755"/>
  </bookViews>
  <sheets>
    <sheet name="TỔNG HỢP" sheetId="7" r:id="rId1"/>
    <sheet name="PHÂN BỔ (Kèm TTr)" sheetId="5" r:id="rId2"/>
    <sheet name="PHÂN BỔ (Kèm NQ)" sheetId="12" r:id="rId3"/>
    <sheet name="KHÔNG TỰ CHỦ" sheetId="1" state="hidden" r:id="rId4"/>
    <sheet name="SNGD" sheetId="2" state="hidden" r:id="rId5"/>
    <sheet name="BSMT XÃ" sheetId="3" state="hidden" r:id="rId6"/>
    <sheet name="DỰ PHÒNG" sheetId="10" state="hidden" r:id="rId7"/>
  </sheets>
  <externalReferences>
    <externalReference r:id="rId8"/>
    <externalReference r:id="rId9"/>
  </externalReferences>
  <definedNames>
    <definedName name="_xlnm.Print_Titles" localSheetId="2">'PHÂN BỔ (Kèm NQ)'!$5:$6</definedName>
    <definedName name="_xlnm.Print_Titles" localSheetId="1">'PHÂN BỔ (Kèm TTr)'!$5:$6</definedName>
  </definedNames>
  <calcPr calcId="152511"/>
</workbook>
</file>

<file path=xl/calcChain.xml><?xml version="1.0" encoding="utf-8"?>
<calcChain xmlns="http://schemas.openxmlformats.org/spreadsheetml/2006/main">
  <c r="D31" i="12" l="1"/>
  <c r="N31" i="12" s="1"/>
  <c r="N32" i="12"/>
  <c r="N33" i="12"/>
  <c r="N34" i="12"/>
  <c r="F35" i="12"/>
  <c r="H36" i="12"/>
  <c r="E37" i="12"/>
  <c r="E38" i="12"/>
  <c r="H39" i="12"/>
  <c r="H40" i="12"/>
  <c r="D41" i="12"/>
  <c r="H41" i="12" s="1"/>
  <c r="H42" i="12"/>
  <c r="H43" i="12"/>
  <c r="H44" i="12"/>
  <c r="J29" i="12"/>
  <c r="G29" i="12"/>
  <c r="D29" i="12"/>
  <c r="K28" i="12"/>
  <c r="K29" i="12" s="1"/>
  <c r="I27" i="12"/>
  <c r="I26" i="12"/>
  <c r="N25" i="12"/>
  <c r="N29" i="12" s="1"/>
  <c r="L24" i="12"/>
  <c r="L29" i="12" s="1"/>
  <c r="I23" i="12"/>
  <c r="I22" i="12"/>
  <c r="I21" i="12"/>
  <c r="H20" i="12"/>
  <c r="I19" i="12"/>
  <c r="I18" i="12"/>
  <c r="F17" i="12"/>
  <c r="F29" i="12" s="1"/>
  <c r="H16" i="12"/>
  <c r="H15" i="12"/>
  <c r="I14" i="12"/>
  <c r="H13" i="12"/>
  <c r="H12" i="12"/>
  <c r="E11" i="12"/>
  <c r="E29" i="12" s="1"/>
  <c r="H10" i="12"/>
  <c r="H9" i="12"/>
  <c r="M8" i="12"/>
  <c r="M29" i="12" s="1"/>
  <c r="G9" i="7"/>
  <c r="G29" i="5"/>
  <c r="J29" i="5"/>
  <c r="M29" i="5"/>
  <c r="D29" i="5"/>
  <c r="K28" i="5"/>
  <c r="K29" i="5" s="1"/>
  <c r="I27" i="5"/>
  <c r="L24" i="5"/>
  <c r="L29" i="5" s="1"/>
  <c r="M8" i="5"/>
  <c r="I21" i="5"/>
  <c r="I29" i="12" l="1"/>
  <c r="H29" i="12"/>
  <c r="I14" i="5"/>
  <c r="I26" i="5"/>
  <c r="N25" i="5"/>
  <c r="N29" i="5" s="1"/>
  <c r="I23" i="5"/>
  <c r="I22" i="5"/>
  <c r="H20" i="5"/>
  <c r="I19" i="5"/>
  <c r="I18" i="5"/>
  <c r="H16" i="5"/>
  <c r="F17" i="5"/>
  <c r="F29" i="5" s="1"/>
  <c r="H15" i="5"/>
  <c r="H13" i="5"/>
  <c r="H12" i="5"/>
  <c r="E11" i="5"/>
  <c r="E29" i="5" s="1"/>
  <c r="H10" i="5"/>
  <c r="H9" i="5"/>
  <c r="H29" i="5" l="1"/>
  <c r="I29" i="5"/>
  <c r="D13" i="7"/>
  <c r="F13" i="7" s="1"/>
  <c r="I12" i="7"/>
  <c r="D9" i="7" l="1"/>
  <c r="M402" i="1" l="1"/>
  <c r="N402" i="1"/>
  <c r="O402" i="1"/>
  <c r="P402" i="1"/>
  <c r="Q402" i="1"/>
  <c r="M392" i="1"/>
  <c r="N392" i="1"/>
  <c r="O392" i="1"/>
  <c r="P392" i="1"/>
  <c r="Q392" i="1"/>
  <c r="L392" i="1"/>
  <c r="L280" i="1"/>
  <c r="L12" i="1"/>
  <c r="N12" i="1"/>
  <c r="P12" i="1"/>
  <c r="Q12" i="1"/>
  <c r="H344" i="1" l="1"/>
  <c r="H336" i="1"/>
  <c r="H330" i="1"/>
  <c r="H327" i="1"/>
  <c r="O359" i="1" l="1"/>
  <c r="O360" i="1"/>
  <c r="S317" i="1" l="1"/>
  <c r="L299" i="1"/>
  <c r="N299" i="1"/>
  <c r="O299" i="1"/>
  <c r="P299" i="1"/>
  <c r="Q299" i="1"/>
  <c r="S312" i="1" l="1"/>
  <c r="E312" i="1" l="1"/>
  <c r="F312" i="1"/>
  <c r="K312" i="1"/>
  <c r="L312" i="1"/>
  <c r="M312" i="1"/>
  <c r="N312" i="1"/>
  <c r="O312" i="1"/>
  <c r="P312" i="1"/>
  <c r="Q312" i="1"/>
  <c r="D312" i="1"/>
  <c r="L413" i="1" l="1"/>
  <c r="M413" i="1"/>
  <c r="N413" i="1"/>
  <c r="O413" i="1"/>
  <c r="P413" i="1"/>
  <c r="Q413" i="1"/>
  <c r="S320" i="1"/>
  <c r="S370" i="1"/>
  <c r="S392" i="1" l="1"/>
  <c r="S402" i="1"/>
  <c r="S223" i="1" l="1"/>
  <c r="S192" i="1"/>
  <c r="G180" i="1"/>
  <c r="I180" i="1" s="1"/>
  <c r="J180" i="1" s="1"/>
  <c r="S178" i="1"/>
  <c r="S147" i="1"/>
  <c r="S132" i="1"/>
  <c r="F144" i="1"/>
  <c r="S98" i="1"/>
  <c r="S82" i="1"/>
  <c r="S60" i="1"/>
  <c r="S48" i="1"/>
  <c r="N280" i="1"/>
  <c r="O280" i="1"/>
  <c r="P280" i="1"/>
  <c r="Q280" i="1"/>
  <c r="M280" i="1"/>
  <c r="S11" i="1"/>
  <c r="G357" i="1"/>
  <c r="G344" i="1"/>
  <c r="I344" i="1" s="1"/>
  <c r="J344" i="1" s="1"/>
  <c r="G96" i="1"/>
  <c r="I96" i="1" s="1"/>
  <c r="G260" i="1"/>
  <c r="G279" i="1"/>
  <c r="G58" i="1"/>
  <c r="G33" i="1"/>
  <c r="I33" i="1" s="1"/>
  <c r="H58" i="1" l="1"/>
  <c r="I58" i="1" s="1"/>
  <c r="J58" i="1" s="1"/>
  <c r="H279" i="1"/>
  <c r="I279" i="1" s="1"/>
  <c r="J279" i="1" s="1"/>
  <c r="K33" i="1"/>
  <c r="O33" i="1" s="1"/>
  <c r="O12" i="1" s="1"/>
  <c r="H260" i="1"/>
  <c r="I260" i="1" s="1"/>
  <c r="J260" i="1" s="1"/>
  <c r="K96" i="1"/>
  <c r="O96" i="1" s="1"/>
  <c r="K310" i="1"/>
  <c r="H309" i="1"/>
  <c r="F309" i="1"/>
  <c r="J33" i="1" l="1"/>
  <c r="J96" i="1"/>
  <c r="N309" i="1"/>
  <c r="N310" i="1"/>
  <c r="H306" i="1"/>
  <c r="K305" i="1"/>
  <c r="H305" i="1"/>
  <c r="K304" i="1" l="1"/>
  <c r="X41" i="2"/>
  <c r="U40" i="2"/>
  <c r="S39" i="2"/>
  <c r="X37" i="2"/>
  <c r="U36" i="2"/>
  <c r="S35" i="2"/>
  <c r="X33" i="2"/>
  <c r="W32" i="2"/>
  <c r="W4" i="2"/>
  <c r="S31" i="2"/>
  <c r="X29" i="2"/>
  <c r="S28" i="2"/>
  <c r="U25" i="2"/>
  <c r="S24" i="2"/>
  <c r="U21" i="2"/>
  <c r="S20" i="2"/>
  <c r="X18" i="2"/>
  <c r="U17" i="2"/>
  <c r="S16" i="2"/>
  <c r="T4" i="2"/>
  <c r="X14" i="2"/>
  <c r="X13" i="2"/>
  <c r="V12" i="2"/>
  <c r="U11" i="2"/>
  <c r="S10" i="2"/>
  <c r="X8" i="2"/>
  <c r="X4" i="2"/>
  <c r="U7" i="2"/>
  <c r="S6" i="2"/>
  <c r="S4" i="2"/>
  <c r="U4" i="2"/>
  <c r="V4" i="2"/>
  <c r="R4" i="2"/>
  <c r="N4" i="2"/>
  <c r="M4" i="2"/>
  <c r="H119" i="2" l="1"/>
  <c r="H104" i="2" l="1"/>
  <c r="H151" i="2" l="1"/>
  <c r="G12" i="2" l="1"/>
  <c r="I12" i="2" s="1"/>
  <c r="J12" i="2" s="1"/>
  <c r="G57" i="1"/>
  <c r="I57" i="1" s="1"/>
  <c r="J57" i="1" s="1"/>
  <c r="G177" i="1"/>
  <c r="G343" i="1"/>
  <c r="I343" i="1" s="1"/>
  <c r="J343" i="1" s="1"/>
  <c r="G56" i="1"/>
  <c r="I56" i="1" s="1"/>
  <c r="J56" i="1" s="1"/>
  <c r="G278" i="1"/>
  <c r="I278" i="1" s="1"/>
  <c r="J278" i="1" s="1"/>
  <c r="G176" i="1"/>
  <c r="G368" i="1"/>
  <c r="I368" i="1" s="1"/>
  <c r="J368" i="1" s="1"/>
  <c r="G401" i="1"/>
  <c r="G191" i="1"/>
  <c r="I191" i="1" s="1"/>
  <c r="J191" i="1" s="1"/>
  <c r="G34" i="1"/>
  <c r="G32" i="1"/>
  <c r="G259" i="1"/>
  <c r="G55" i="1"/>
  <c r="G239" i="1"/>
  <c r="I239" i="1" s="1"/>
  <c r="J239" i="1" s="1"/>
  <c r="G277" i="1"/>
  <c r="G342" i="1"/>
  <c r="I342" i="1" s="1"/>
  <c r="J342" i="1" s="1"/>
  <c r="G95" i="1"/>
  <c r="I95" i="1" s="1"/>
  <c r="G163" i="1"/>
  <c r="G356" i="1"/>
  <c r="H401" i="1" l="1"/>
  <c r="I401" i="1" s="1"/>
  <c r="J401" i="1" s="1"/>
  <c r="H177" i="1"/>
  <c r="I177" i="1" s="1"/>
  <c r="J177" i="1" s="1"/>
  <c r="H277" i="1"/>
  <c r="I277" i="1" s="1"/>
  <c r="J277" i="1" s="1"/>
  <c r="H176" i="1"/>
  <c r="I176" i="1" s="1"/>
  <c r="J176" i="1" s="1"/>
  <c r="H55" i="1"/>
  <c r="I55" i="1" s="1"/>
  <c r="J55" i="1" s="1"/>
  <c r="H32" i="1"/>
  <c r="I32" i="1" s="1"/>
  <c r="J32" i="1" s="1"/>
  <c r="H34" i="1"/>
  <c r="I34" i="1" s="1"/>
  <c r="J34" i="1" s="1"/>
  <c r="H259" i="1"/>
  <c r="I259" i="1" s="1"/>
  <c r="J259" i="1" s="1"/>
  <c r="K95" i="1"/>
  <c r="O95" i="1" s="1"/>
  <c r="H356" i="1"/>
  <c r="H357" i="1" s="1"/>
  <c r="I357" i="1" s="1"/>
  <c r="J357" i="1" s="1"/>
  <c r="H163" i="1"/>
  <c r="I163" i="1" s="1"/>
  <c r="J163" i="1" s="1"/>
  <c r="G381" i="1"/>
  <c r="I381" i="1" s="1"/>
  <c r="J381" i="1" s="1"/>
  <c r="G412" i="1"/>
  <c r="G298" i="1"/>
  <c r="G31" i="1"/>
  <c r="I31" i="1" s="1"/>
  <c r="G145" i="1"/>
  <c r="G142" i="1"/>
  <c r="I142" i="1" s="1"/>
  <c r="J142" i="1" s="1"/>
  <c r="G141" i="1"/>
  <c r="G341" i="1"/>
  <c r="I341" i="1" s="1"/>
  <c r="J341" i="1" s="1"/>
  <c r="G258" i="1"/>
  <c r="G340" i="1"/>
  <c r="I340" i="1" s="1"/>
  <c r="J340" i="1" s="1"/>
  <c r="G411" i="1"/>
  <c r="G400" i="1"/>
  <c r="G175" i="1"/>
  <c r="I175" i="1" s="1"/>
  <c r="J175" i="1" s="1"/>
  <c r="G81" i="1"/>
  <c r="I81" i="1" s="1"/>
  <c r="J81" i="1" s="1"/>
  <c r="G390" i="1"/>
  <c r="I390" i="1" s="1"/>
  <c r="J390" i="1" s="1"/>
  <c r="G118" i="1"/>
  <c r="G380" i="1"/>
  <c r="G257" i="1"/>
  <c r="G200" i="1"/>
  <c r="G420" i="1"/>
  <c r="G174" i="1"/>
  <c r="G94" i="1"/>
  <c r="G379" i="1"/>
  <c r="G30" i="1"/>
  <c r="G117" i="1"/>
  <c r="G367" i="1"/>
  <c r="G93" i="1"/>
  <c r="I93" i="1" s="1"/>
  <c r="J93" i="1" s="1"/>
  <c r="G80" i="1"/>
  <c r="G54" i="1"/>
  <c r="G399" i="1"/>
  <c r="G355" i="1"/>
  <c r="I355" i="1" s="1"/>
  <c r="J355" i="1" s="1"/>
  <c r="G276" i="1"/>
  <c r="I276" i="1" s="1"/>
  <c r="J276" i="1" s="1"/>
  <c r="G171" i="1"/>
  <c r="I171" i="1" s="1"/>
  <c r="J171" i="1" s="1"/>
  <c r="G172" i="1"/>
  <c r="I172" i="1" s="1"/>
  <c r="J172" i="1" s="1"/>
  <c r="G366" i="1"/>
  <c r="G365" i="1"/>
  <c r="G364" i="1"/>
  <c r="G116" i="1"/>
  <c r="G339" i="1"/>
  <c r="H412" i="1" l="1"/>
  <c r="I412" i="1" s="1"/>
  <c r="J412" i="1" s="1"/>
  <c r="H411" i="1"/>
  <c r="I411" i="1" s="1"/>
  <c r="J411" i="1" s="1"/>
  <c r="H380" i="1"/>
  <c r="I380" i="1" s="1"/>
  <c r="J380" i="1" s="1"/>
  <c r="H379" i="1"/>
  <c r="I379" i="1" s="1"/>
  <c r="J379" i="1" s="1"/>
  <c r="H399" i="1"/>
  <c r="I399" i="1" s="1"/>
  <c r="J399" i="1" s="1"/>
  <c r="H400" i="1"/>
  <c r="I400" i="1" s="1"/>
  <c r="J400" i="1" s="1"/>
  <c r="H174" i="1"/>
  <c r="I174" i="1" s="1"/>
  <c r="J174" i="1" s="1"/>
  <c r="H80" i="1"/>
  <c r="I80" i="1" s="1"/>
  <c r="J80" i="1" s="1"/>
  <c r="H141" i="1"/>
  <c r="I141" i="1" s="1"/>
  <c r="J141" i="1" s="1"/>
  <c r="K31" i="1"/>
  <c r="M31" i="1" s="1"/>
  <c r="H258" i="1"/>
  <c r="I258" i="1" s="1"/>
  <c r="J258" i="1" s="1"/>
  <c r="H298" i="1"/>
  <c r="I298" i="1" s="1"/>
  <c r="J298" i="1" s="1"/>
  <c r="H94" i="1"/>
  <c r="I94" i="1" s="1"/>
  <c r="J94" i="1" s="1"/>
  <c r="H365" i="1"/>
  <c r="I365" i="1" s="1"/>
  <c r="J365" i="1" s="1"/>
  <c r="H366" i="1"/>
  <c r="I366" i="1" s="1"/>
  <c r="J366" i="1" s="1"/>
  <c r="H364" i="1"/>
  <c r="I364" i="1" s="1"/>
  <c r="J364" i="1" s="1"/>
  <c r="J95" i="1"/>
  <c r="H367" i="1"/>
  <c r="I367" i="1" s="1"/>
  <c r="J367" i="1" s="1"/>
  <c r="H339" i="1"/>
  <c r="I339" i="1" s="1"/>
  <c r="J339" i="1" s="1"/>
  <c r="I356" i="1"/>
  <c r="J356" i="1" s="1"/>
  <c r="H420" i="1"/>
  <c r="H419" i="1" s="1"/>
  <c r="H257" i="1"/>
  <c r="I257" i="1" s="1"/>
  <c r="J257" i="1" s="1"/>
  <c r="H200" i="1"/>
  <c r="I200" i="1" s="1"/>
  <c r="J200" i="1" s="1"/>
  <c r="H145" i="1"/>
  <c r="I145" i="1" s="1"/>
  <c r="J145" i="1" s="1"/>
  <c r="H116" i="1"/>
  <c r="I116" i="1" s="1"/>
  <c r="J116" i="1" s="1"/>
  <c r="H118" i="1"/>
  <c r="H117" i="1" s="1"/>
  <c r="I117" i="1" s="1"/>
  <c r="J117" i="1" s="1"/>
  <c r="H54" i="1"/>
  <c r="I54" i="1" s="1"/>
  <c r="J54" i="1" s="1"/>
  <c r="H30" i="1"/>
  <c r="I30" i="1" s="1"/>
  <c r="J30" i="1" s="1"/>
  <c r="G29" i="1"/>
  <c r="G92" i="1"/>
  <c r="I92" i="1" s="1"/>
  <c r="J92" i="1" s="1"/>
  <c r="G363" i="1"/>
  <c r="G362" i="1"/>
  <c r="G361" i="1"/>
  <c r="I361" i="1" s="1"/>
  <c r="J31" i="1" l="1"/>
  <c r="H362" i="1"/>
  <c r="I362" i="1" s="1"/>
  <c r="J362" i="1" s="1"/>
  <c r="H363" i="1"/>
  <c r="I363" i="1" s="1"/>
  <c r="J363" i="1" s="1"/>
  <c r="K361" i="1"/>
  <c r="I420" i="1"/>
  <c r="J420" i="1" s="1"/>
  <c r="I118" i="1"/>
  <c r="J118" i="1" s="1"/>
  <c r="H29" i="1"/>
  <c r="I29" i="1" s="1"/>
  <c r="J29" i="1" s="1"/>
  <c r="G28" i="1"/>
  <c r="I28" i="1" s="1"/>
  <c r="J28" i="1" s="1"/>
  <c r="G115" i="1"/>
  <c r="I115" i="1" s="1"/>
  <c r="J115" i="1" s="1"/>
  <c r="G275" i="1"/>
  <c r="G398" i="1"/>
  <c r="E392" i="1"/>
  <c r="F392" i="1"/>
  <c r="K392" i="1"/>
  <c r="D392" i="1"/>
  <c r="G410" i="1"/>
  <c r="E402" i="1"/>
  <c r="F402" i="1"/>
  <c r="K402" i="1"/>
  <c r="D402" i="1"/>
  <c r="G274" i="1"/>
  <c r="I274" i="1" s="1"/>
  <c r="J274" i="1" s="1"/>
  <c r="F143" i="1"/>
  <c r="G144" i="1"/>
  <c r="I144" i="1" s="1"/>
  <c r="J144" i="1" s="1"/>
  <c r="G165" i="2"/>
  <c r="G164" i="2"/>
  <c r="I164" i="2" s="1"/>
  <c r="K163" i="2"/>
  <c r="E163" i="2"/>
  <c r="D163" i="2"/>
  <c r="F160" i="2"/>
  <c r="G140" i="1"/>
  <c r="G49" i="2"/>
  <c r="G106" i="2"/>
  <c r="G126" i="1"/>
  <c r="G127" i="1"/>
  <c r="G125" i="1"/>
  <c r="G32" i="2"/>
  <c r="I32" i="2" s="1"/>
  <c r="J32" i="2" s="1"/>
  <c r="G114" i="1"/>
  <c r="H410" i="1" l="1"/>
  <c r="I410" i="1" s="1"/>
  <c r="J410" i="1" s="1"/>
  <c r="H398" i="1"/>
  <c r="I398" i="1" s="1"/>
  <c r="J398" i="1" s="1"/>
  <c r="H125" i="1"/>
  <c r="I125" i="1" s="1"/>
  <c r="J125" i="1" s="1"/>
  <c r="H127" i="1"/>
  <c r="I127" i="1" s="1"/>
  <c r="J127" i="1" s="1"/>
  <c r="H126" i="1"/>
  <c r="I126" i="1" s="1"/>
  <c r="J126" i="1" s="1"/>
  <c r="H140" i="1"/>
  <c r="I140" i="1" s="1"/>
  <c r="J140" i="1" s="1"/>
  <c r="H275" i="1"/>
  <c r="I275" i="1" s="1"/>
  <c r="J275" i="1" s="1"/>
  <c r="J361" i="1"/>
  <c r="O361" i="1"/>
  <c r="H114" i="1"/>
  <c r="I114" i="1" s="1"/>
  <c r="J114" i="1" s="1"/>
  <c r="H106" i="2"/>
  <c r="I106" i="2" s="1"/>
  <c r="J106" i="2" s="1"/>
  <c r="H49" i="2"/>
  <c r="I49" i="2" s="1"/>
  <c r="J49" i="2" s="1"/>
  <c r="J164" i="2"/>
  <c r="I165" i="2"/>
  <c r="F163" i="2"/>
  <c r="G199" i="1"/>
  <c r="G79" i="1"/>
  <c r="G91" i="1"/>
  <c r="G27" i="1"/>
  <c r="F12" i="1"/>
  <c r="D12" i="1"/>
  <c r="H199" i="1" l="1"/>
  <c r="I199" i="1" s="1"/>
  <c r="J199" i="1" s="1"/>
  <c r="H91" i="1"/>
  <c r="I91" i="1" s="1"/>
  <c r="J91" i="1" s="1"/>
  <c r="H79" i="1"/>
  <c r="I79" i="1" s="1"/>
  <c r="J79" i="1" s="1"/>
  <c r="H27" i="1"/>
  <c r="I27" i="1" s="1"/>
  <c r="J27" i="1" s="1"/>
  <c r="H163" i="2"/>
  <c r="N164" i="2" s="1"/>
  <c r="J165" i="2"/>
  <c r="J163" i="2" s="1"/>
  <c r="G310" i="1" l="1"/>
  <c r="G397" i="1" l="1"/>
  <c r="G338" i="1"/>
  <c r="I338" i="1" s="1"/>
  <c r="E179" i="1"/>
  <c r="G337" i="1"/>
  <c r="I337" i="1" s="1"/>
  <c r="J337" i="1" s="1"/>
  <c r="G138" i="1"/>
  <c r="I138" i="1" s="1"/>
  <c r="J138" i="1" s="1"/>
  <c r="G52" i="1"/>
  <c r="I52" i="1" s="1"/>
  <c r="J52" i="1" s="1"/>
  <c r="G90" i="1"/>
  <c r="I90" i="1" s="1"/>
  <c r="J90" i="1" s="1"/>
  <c r="G105" i="1"/>
  <c r="I105" i="1" s="1"/>
  <c r="J105" i="1" s="1"/>
  <c r="G20" i="1"/>
  <c r="I20" i="1" s="1"/>
  <c r="J20" i="1" s="1"/>
  <c r="G273" i="1"/>
  <c r="I273" i="1" s="1"/>
  <c r="J273" i="1" s="1"/>
  <c r="E103" i="2"/>
  <c r="F103" i="2"/>
  <c r="H103" i="2"/>
  <c r="K103" i="2"/>
  <c r="D103" i="2"/>
  <c r="E101" i="2"/>
  <c r="F101" i="2"/>
  <c r="H101" i="2"/>
  <c r="K101" i="2"/>
  <c r="D101" i="2"/>
  <c r="G105" i="2"/>
  <c r="I105" i="2" s="1"/>
  <c r="J105" i="2" s="1"/>
  <c r="G351" i="1"/>
  <c r="G113" i="1"/>
  <c r="G65" i="2"/>
  <c r="I65" i="2" s="1"/>
  <c r="J65" i="2" s="1"/>
  <c r="H113" i="1" l="1"/>
  <c r="I113" i="1" s="1"/>
  <c r="J113" i="1" s="1"/>
  <c r="H397" i="1"/>
  <c r="I397" i="1" s="1"/>
  <c r="J397" i="1" s="1"/>
  <c r="K338" i="1"/>
  <c r="N338" i="1" s="1"/>
  <c r="H351" i="1"/>
  <c r="I351" i="1" s="1"/>
  <c r="J351" i="1" s="1"/>
  <c r="J338" i="1" l="1"/>
  <c r="G308" i="1"/>
  <c r="G63" i="2"/>
  <c r="I63" i="2" s="1"/>
  <c r="G64" i="2"/>
  <c r="I64" i="2" s="1"/>
  <c r="J64" i="2" s="1"/>
  <c r="K63" i="2" l="1"/>
  <c r="J63" i="2" s="1"/>
  <c r="G127" i="2"/>
  <c r="I127" i="2" s="1"/>
  <c r="K127" i="2" s="1"/>
  <c r="M303" i="1"/>
  <c r="O303" i="1"/>
  <c r="P303" i="1"/>
  <c r="Q303" i="1"/>
  <c r="L303" i="1"/>
  <c r="E303" i="1"/>
  <c r="F303" i="1"/>
  <c r="D303" i="1"/>
  <c r="G309" i="1" l="1"/>
  <c r="I309" i="1" s="1"/>
  <c r="J309" i="1" s="1"/>
  <c r="G305" i="1"/>
  <c r="G306" i="1"/>
  <c r="I306" i="1" s="1"/>
  <c r="G307" i="1"/>
  <c r="E378" i="1"/>
  <c r="G378" i="1" s="1"/>
  <c r="E375" i="1"/>
  <c r="G375" i="1" s="1"/>
  <c r="E374" i="1"/>
  <c r="G374" i="1" s="1"/>
  <c r="I374" i="1" s="1"/>
  <c r="J374" i="1" s="1"/>
  <c r="G376" i="1"/>
  <c r="I376" i="1" s="1"/>
  <c r="J376" i="1" s="1"/>
  <c r="G377" i="1"/>
  <c r="E347" i="1"/>
  <c r="E334" i="1"/>
  <c r="E322" i="1"/>
  <c r="E321" i="1"/>
  <c r="E318" i="1"/>
  <c r="G315" i="1"/>
  <c r="H377" i="1" l="1"/>
  <c r="I377" i="1" s="1"/>
  <c r="J377" i="1" s="1"/>
  <c r="H375" i="1"/>
  <c r="I375" i="1" s="1"/>
  <c r="J375" i="1" s="1"/>
  <c r="H378" i="1"/>
  <c r="I378" i="1" s="1"/>
  <c r="J378" i="1" s="1"/>
  <c r="H315" i="1"/>
  <c r="I315" i="1" s="1"/>
  <c r="J315" i="1" s="1"/>
  <c r="I305" i="1"/>
  <c r="J305" i="1" s="1"/>
  <c r="E296" i="1"/>
  <c r="G296" i="1" s="1"/>
  <c r="E290" i="1"/>
  <c r="G293" i="1"/>
  <c r="I293" i="1" s="1"/>
  <c r="J293" i="1" s="1"/>
  <c r="G294" i="1"/>
  <c r="I294" i="1" s="1"/>
  <c r="J294" i="1" s="1"/>
  <c r="G295" i="1"/>
  <c r="I295" i="1" s="1"/>
  <c r="J295" i="1" s="1"/>
  <c r="E269" i="1"/>
  <c r="E266" i="1"/>
  <c r="G270" i="1"/>
  <c r="I270" i="1" s="1"/>
  <c r="J270" i="1" s="1"/>
  <c r="G271" i="1"/>
  <c r="I271" i="1" s="1"/>
  <c r="J271" i="1" s="1"/>
  <c r="E253" i="1"/>
  <c r="E225" i="1"/>
  <c r="E224" i="1"/>
  <c r="E217" i="1"/>
  <c r="E212" i="1"/>
  <c r="G194" i="1"/>
  <c r="I194" i="1" s="1"/>
  <c r="J194" i="1" s="1"/>
  <c r="G197" i="1"/>
  <c r="G198" i="1"/>
  <c r="I198" i="1" s="1"/>
  <c r="G193" i="1"/>
  <c r="E196" i="1"/>
  <c r="G196" i="1" s="1"/>
  <c r="E195" i="1"/>
  <c r="G195" i="1" s="1"/>
  <c r="I195" i="1" s="1"/>
  <c r="J195" i="1" s="1"/>
  <c r="E184" i="1"/>
  <c r="G160" i="1"/>
  <c r="I160" i="1" s="1"/>
  <c r="J160" i="1" s="1"/>
  <c r="G161" i="1"/>
  <c r="G162" i="1"/>
  <c r="E157" i="1"/>
  <c r="E149" i="1"/>
  <c r="E110" i="1"/>
  <c r="G62" i="1"/>
  <c r="I62" i="1" s="1"/>
  <c r="J62" i="1" s="1"/>
  <c r="G63" i="1"/>
  <c r="I63" i="1" s="1"/>
  <c r="J63" i="1" s="1"/>
  <c r="G64" i="1"/>
  <c r="I64" i="1" s="1"/>
  <c r="J64" i="1" s="1"/>
  <c r="G65" i="1"/>
  <c r="I65" i="1" s="1"/>
  <c r="J65" i="1" s="1"/>
  <c r="G66" i="1"/>
  <c r="I66" i="1" s="1"/>
  <c r="J66" i="1" s="1"/>
  <c r="G67" i="1"/>
  <c r="G68" i="1"/>
  <c r="I68" i="1" s="1"/>
  <c r="J68" i="1" s="1"/>
  <c r="G70" i="1"/>
  <c r="I70" i="1" s="1"/>
  <c r="J70" i="1" s="1"/>
  <c r="G71" i="1"/>
  <c r="I71" i="1" s="1"/>
  <c r="J71" i="1" s="1"/>
  <c r="G72" i="1"/>
  <c r="I72" i="1" s="1"/>
  <c r="J72" i="1" s="1"/>
  <c r="G73" i="1"/>
  <c r="G74" i="1"/>
  <c r="G75" i="1"/>
  <c r="I75" i="1" s="1"/>
  <c r="J75" i="1" s="1"/>
  <c r="G76" i="1"/>
  <c r="I76" i="1" s="1"/>
  <c r="J76" i="1" s="1"/>
  <c r="G77" i="1"/>
  <c r="G78" i="1"/>
  <c r="I78" i="1" s="1"/>
  <c r="J78" i="1" s="1"/>
  <c r="E69" i="1"/>
  <c r="G69" i="1" s="1"/>
  <c r="I69" i="1" s="1"/>
  <c r="J69" i="1" s="1"/>
  <c r="G37" i="1"/>
  <c r="I37" i="1" s="1"/>
  <c r="J37" i="1" s="1"/>
  <c r="G38" i="1"/>
  <c r="I38" i="1" s="1"/>
  <c r="J38" i="1" s="1"/>
  <c r="G39" i="1"/>
  <c r="I39" i="1" s="1"/>
  <c r="J39" i="1" s="1"/>
  <c r="G40" i="1"/>
  <c r="I40" i="1" s="1"/>
  <c r="J40" i="1" s="1"/>
  <c r="G41" i="1"/>
  <c r="I41" i="1" s="1"/>
  <c r="J41" i="1" s="1"/>
  <c r="G42" i="1"/>
  <c r="I42" i="1" s="1"/>
  <c r="J42" i="1" s="1"/>
  <c r="G43" i="1"/>
  <c r="I43" i="1" s="1"/>
  <c r="J43" i="1" s="1"/>
  <c r="G44" i="1"/>
  <c r="I44" i="1" s="1"/>
  <c r="J44" i="1" s="1"/>
  <c r="G45" i="1"/>
  <c r="I45" i="1" s="1"/>
  <c r="J45" i="1" s="1"/>
  <c r="G46" i="1"/>
  <c r="I46" i="1" s="1"/>
  <c r="J46" i="1" s="1"/>
  <c r="G47" i="1"/>
  <c r="I47" i="1" s="1"/>
  <c r="J47" i="1" s="1"/>
  <c r="E25" i="1"/>
  <c r="E22" i="1"/>
  <c r="E21" i="1"/>
  <c r="H371" i="1" l="1"/>
  <c r="H77" i="1"/>
  <c r="I77" i="1" s="1"/>
  <c r="J77" i="1" s="1"/>
  <c r="H67" i="1"/>
  <c r="I67" i="1" s="1"/>
  <c r="J67" i="1" s="1"/>
  <c r="H74" i="1"/>
  <c r="I74" i="1" s="1"/>
  <c r="J74" i="1" s="1"/>
  <c r="H73" i="1"/>
  <c r="I73" i="1" s="1"/>
  <c r="J73" i="1" s="1"/>
  <c r="H161" i="1"/>
  <c r="I161" i="1" s="1"/>
  <c r="J161" i="1" s="1"/>
  <c r="K198" i="1"/>
  <c r="M198" i="1" s="1"/>
  <c r="H296" i="1"/>
  <c r="I296" i="1" s="1"/>
  <c r="J296" i="1" s="1"/>
  <c r="H162" i="1"/>
  <c r="I162" i="1" s="1"/>
  <c r="J162" i="1" s="1"/>
  <c r="E12" i="1"/>
  <c r="E280" i="1"/>
  <c r="J198" i="1" l="1"/>
  <c r="I71" i="12"/>
  <c r="F70" i="12"/>
  <c r="H69" i="12"/>
  <c r="H68" i="12"/>
  <c r="E67" i="12"/>
  <c r="H66" i="12"/>
  <c r="H65" i="12"/>
  <c r="H64" i="12"/>
  <c r="L63" i="12"/>
  <c r="L62" i="12"/>
  <c r="F61" i="12"/>
  <c r="H60" i="12"/>
  <c r="I59" i="12"/>
  <c r="H58" i="12"/>
  <c r="H57" i="12"/>
  <c r="D56" i="12"/>
  <c r="H56" i="12" s="1"/>
  <c r="H55" i="12"/>
  <c r="F54" i="12"/>
  <c r="I53" i="12"/>
  <c r="I52" i="12"/>
  <c r="I51" i="12"/>
  <c r="I50" i="12"/>
  <c r="I49" i="12"/>
  <c r="I48" i="12"/>
  <c r="K47" i="12"/>
  <c r="M46" i="12"/>
  <c r="J45" i="12"/>
  <c r="E14" i="10" l="1"/>
  <c r="E11" i="10"/>
  <c r="E9" i="10"/>
  <c r="E8" i="10" s="1"/>
  <c r="F8" i="10" s="1"/>
  <c r="D8" i="10"/>
  <c r="A3" i="5" l="1"/>
  <c r="L388" i="1" l="1"/>
  <c r="N388" i="1"/>
  <c r="L384" i="1"/>
  <c r="N384" i="1"/>
  <c r="L382" i="1"/>
  <c r="N382" i="1"/>
  <c r="L370" i="1"/>
  <c r="N370" i="1"/>
  <c r="L358" i="1"/>
  <c r="M358" i="1"/>
  <c r="N358" i="1"/>
  <c r="P358" i="1"/>
  <c r="L352" i="1"/>
  <c r="M352" i="1"/>
  <c r="N352" i="1"/>
  <c r="P352" i="1"/>
  <c r="L345" i="1"/>
  <c r="M345" i="1"/>
  <c r="N345" i="1"/>
  <c r="P345" i="1"/>
  <c r="L320" i="1"/>
  <c r="M320" i="1"/>
  <c r="N320" i="1"/>
  <c r="O320" i="1"/>
  <c r="L317" i="1"/>
  <c r="M317" i="1"/>
  <c r="O317" i="1"/>
  <c r="P317" i="1"/>
  <c r="L261" i="1"/>
  <c r="M261" i="1"/>
  <c r="N261" i="1"/>
  <c r="O261" i="1"/>
  <c r="P261" i="1"/>
  <c r="L240" i="1"/>
  <c r="N240" i="1"/>
  <c r="O240" i="1"/>
  <c r="P240" i="1"/>
  <c r="Q240" i="1"/>
  <c r="L223" i="1"/>
  <c r="M223" i="1"/>
  <c r="N223" i="1"/>
  <c r="O223" i="1"/>
  <c r="P223" i="1"/>
  <c r="Q223" i="1"/>
  <c r="L202" i="1"/>
  <c r="M202" i="1"/>
  <c r="N202" i="1"/>
  <c r="P202" i="1"/>
  <c r="Q202" i="1"/>
  <c r="L192" i="1"/>
  <c r="N192" i="1"/>
  <c r="O192" i="1"/>
  <c r="P192" i="1"/>
  <c r="Q192" i="1"/>
  <c r="L178" i="1"/>
  <c r="M178" i="1"/>
  <c r="N178" i="1"/>
  <c r="O178" i="1"/>
  <c r="P178" i="1"/>
  <c r="L164" i="1"/>
  <c r="N164" i="1"/>
  <c r="P164" i="1"/>
  <c r="Q164" i="1"/>
  <c r="L147" i="1"/>
  <c r="N147" i="1"/>
  <c r="O147" i="1"/>
  <c r="P147" i="1"/>
  <c r="Q147" i="1"/>
  <c r="L132" i="1"/>
  <c r="N132" i="1"/>
  <c r="O132" i="1"/>
  <c r="P132" i="1"/>
  <c r="Q132" i="1"/>
  <c r="L128" i="1"/>
  <c r="M128" i="1"/>
  <c r="N128" i="1"/>
  <c r="O128" i="1"/>
  <c r="P128" i="1"/>
  <c r="Q128" i="1"/>
  <c r="L119" i="1"/>
  <c r="M119" i="1"/>
  <c r="N119" i="1"/>
  <c r="O119" i="1"/>
  <c r="P119" i="1"/>
  <c r="Q119" i="1"/>
  <c r="L98" i="1"/>
  <c r="N98" i="1"/>
  <c r="O98" i="1"/>
  <c r="P98" i="1"/>
  <c r="Q98" i="1"/>
  <c r="L82" i="1"/>
  <c r="N82" i="1"/>
  <c r="P82" i="1"/>
  <c r="Q82" i="1"/>
  <c r="L48" i="1"/>
  <c r="L35" i="1"/>
  <c r="L60" i="1"/>
  <c r="N60" i="1"/>
  <c r="O60" i="1"/>
  <c r="P60" i="1"/>
  <c r="N48" i="1"/>
  <c r="O48" i="1"/>
  <c r="P48" i="1"/>
  <c r="N35" i="1"/>
  <c r="O35" i="1"/>
  <c r="P35" i="1"/>
  <c r="O388" i="1"/>
  <c r="P388" i="1"/>
  <c r="Q388" i="1"/>
  <c r="O384" i="1"/>
  <c r="P384" i="1"/>
  <c r="O382" i="1"/>
  <c r="P382" i="1"/>
  <c r="Q382" i="1"/>
  <c r="O370" i="1"/>
  <c r="P370" i="1"/>
  <c r="Q370" i="1"/>
  <c r="Q358" i="1"/>
  <c r="Q352" i="1"/>
  <c r="Q345" i="1"/>
  <c r="Q320" i="1"/>
  <c r="Q317" i="1"/>
  <c r="N305" i="1"/>
  <c r="Q60" i="1"/>
  <c r="Q48" i="1"/>
  <c r="M35" i="1"/>
  <c r="Q35" i="1"/>
  <c r="L11" i="1" l="1"/>
  <c r="L10" i="1" s="1"/>
  <c r="M391" i="1"/>
  <c r="L201" i="1"/>
  <c r="N11" i="1"/>
  <c r="N10" i="1" s="1"/>
  <c r="Q311" i="1"/>
  <c r="Q302" i="1" s="1"/>
  <c r="Q301" i="1" s="1"/>
  <c r="L311" i="1"/>
  <c r="L302" i="1" s="1"/>
  <c r="L301" i="1" s="1"/>
  <c r="P201" i="1"/>
  <c r="Q391" i="1"/>
  <c r="P311" i="1"/>
  <c r="P302" i="1" s="1"/>
  <c r="M311" i="1"/>
  <c r="M302" i="1" s="1"/>
  <c r="M301" i="1" s="1"/>
  <c r="N369" i="1"/>
  <c r="L369" i="1"/>
  <c r="O311" i="1"/>
  <c r="O302" i="1" s="1"/>
  <c r="N201" i="1"/>
  <c r="P11" i="1"/>
  <c r="P10" i="1" s="1"/>
  <c r="O11" i="1"/>
  <c r="O391" i="1"/>
  <c r="P391" i="1"/>
  <c r="N391" i="1"/>
  <c r="O369" i="1"/>
  <c r="P369" i="1"/>
  <c r="I11" i="7" l="1"/>
  <c r="J10" i="7" l="1"/>
  <c r="J15" i="7" s="1"/>
  <c r="L10" i="3" l="1"/>
  <c r="H95" i="3" l="1"/>
  <c r="F123" i="3" l="1"/>
  <c r="G122" i="3"/>
  <c r="I122" i="3" s="1"/>
  <c r="K122" i="3" s="1"/>
  <c r="H29" i="3" l="1"/>
  <c r="H26" i="3"/>
  <c r="H21" i="3"/>
  <c r="G39" i="3" l="1"/>
  <c r="H39" i="3" s="1"/>
  <c r="I39" i="3" l="1"/>
  <c r="H53" i="3" l="1"/>
  <c r="N304" i="1" l="1"/>
  <c r="G135" i="2"/>
  <c r="G136" i="2"/>
  <c r="E299" i="1" l="1"/>
  <c r="F299" i="1"/>
  <c r="H299" i="1"/>
  <c r="G50" i="2" l="1"/>
  <c r="G41" i="2"/>
  <c r="G37" i="2"/>
  <c r="G33" i="2"/>
  <c r="G29" i="2"/>
  <c r="G14" i="2"/>
  <c r="I14" i="2" s="1"/>
  <c r="J14" i="2" s="1"/>
  <c r="G13" i="2"/>
  <c r="F61" i="2"/>
  <c r="H61" i="2"/>
  <c r="K61" i="2"/>
  <c r="D61" i="2"/>
  <c r="E61" i="2"/>
  <c r="N62" i="2" l="1"/>
  <c r="I50" i="2"/>
  <c r="J50" i="2" s="1"/>
  <c r="I41" i="2"/>
  <c r="J41" i="2" s="1"/>
  <c r="I37" i="2"/>
  <c r="J37" i="2" s="1"/>
  <c r="I33" i="2"/>
  <c r="J33" i="2" s="1"/>
  <c r="I29" i="2"/>
  <c r="J29" i="2" s="1"/>
  <c r="I13" i="2"/>
  <c r="J13" i="2" s="1"/>
  <c r="G62" i="2" l="1"/>
  <c r="G123" i="2"/>
  <c r="G146" i="2"/>
  <c r="I146" i="2" s="1"/>
  <c r="J146" i="2" s="1"/>
  <c r="G114" i="2"/>
  <c r="I114" i="2" s="1"/>
  <c r="J114" i="2" s="1"/>
  <c r="I123" i="2" l="1"/>
  <c r="J123" i="2" s="1"/>
  <c r="I62" i="2"/>
  <c r="J62" i="2" s="1"/>
  <c r="F388" i="1" l="1"/>
  <c r="H388" i="1"/>
  <c r="S384" i="1"/>
  <c r="S358" i="1" l="1"/>
  <c r="S352" i="1"/>
  <c r="S345" i="1"/>
  <c r="S280" i="1"/>
  <c r="G263" i="1"/>
  <c r="I263" i="1" s="1"/>
  <c r="J263" i="1" s="1"/>
  <c r="G264" i="1"/>
  <c r="I264" i="1" s="1"/>
  <c r="J264" i="1" s="1"/>
  <c r="G265" i="1"/>
  <c r="I265" i="1" s="1"/>
  <c r="J265" i="1" s="1"/>
  <c r="G266" i="1"/>
  <c r="I266" i="1" s="1"/>
  <c r="J266" i="1" s="1"/>
  <c r="G267" i="1"/>
  <c r="I267" i="1" s="1"/>
  <c r="J267" i="1" s="1"/>
  <c r="G268" i="1"/>
  <c r="I268" i="1" s="1"/>
  <c r="G269" i="1"/>
  <c r="I269" i="1" s="1"/>
  <c r="J269" i="1" s="1"/>
  <c r="S261" i="1"/>
  <c r="S240" i="1"/>
  <c r="S202" i="1"/>
  <c r="S164" i="1" l="1"/>
  <c r="G146" i="1"/>
  <c r="H146" i="1" s="1"/>
  <c r="S128" i="1"/>
  <c r="S119" i="1"/>
  <c r="E137" i="3" l="1"/>
  <c r="H137" i="3"/>
  <c r="J137" i="3"/>
  <c r="K137" i="3"/>
  <c r="D137" i="3"/>
  <c r="E126" i="3"/>
  <c r="D126" i="3"/>
  <c r="E117" i="3"/>
  <c r="K117" i="3"/>
  <c r="D117" i="3"/>
  <c r="E108" i="3"/>
  <c r="K108" i="3"/>
  <c r="D108" i="3"/>
  <c r="E96" i="3"/>
  <c r="J96" i="3"/>
  <c r="D96" i="3"/>
  <c r="E84" i="3"/>
  <c r="K84" i="3"/>
  <c r="D84" i="3"/>
  <c r="E72" i="3"/>
  <c r="K72" i="3"/>
  <c r="D72" i="3"/>
  <c r="E57" i="3"/>
  <c r="D57" i="3"/>
  <c r="E46" i="3"/>
  <c r="D46" i="3"/>
  <c r="E30" i="3"/>
  <c r="K30" i="3"/>
  <c r="D30" i="3"/>
  <c r="L153" i="3"/>
  <c r="L117" i="3"/>
  <c r="E10" i="3"/>
  <c r="D10" i="3"/>
  <c r="G166" i="3"/>
  <c r="G165" i="3"/>
  <c r="F164" i="3"/>
  <c r="G163" i="3"/>
  <c r="I163" i="3" s="1"/>
  <c r="J163" i="3" s="1"/>
  <c r="G162" i="3"/>
  <c r="I162" i="3" s="1"/>
  <c r="J162" i="3" s="1"/>
  <c r="G161" i="3"/>
  <c r="I161" i="3" s="1"/>
  <c r="G160" i="3"/>
  <c r="G159" i="3"/>
  <c r="H159" i="3" s="1"/>
  <c r="G158" i="3"/>
  <c r="I158" i="3" s="1"/>
  <c r="J158" i="3" s="1"/>
  <c r="G157" i="3"/>
  <c r="G156" i="3"/>
  <c r="G155" i="3"/>
  <c r="G154" i="3"/>
  <c r="K153" i="3"/>
  <c r="E153" i="3"/>
  <c r="D153" i="3"/>
  <c r="G151" i="3"/>
  <c r="I151" i="3" s="1"/>
  <c r="G150" i="3"/>
  <c r="I150" i="3" s="1"/>
  <c r="G149" i="3"/>
  <c r="I149" i="3" s="1"/>
  <c r="G148" i="3"/>
  <c r="I148" i="3" s="1"/>
  <c r="G147" i="3"/>
  <c r="I147" i="3" s="1"/>
  <c r="G146" i="3"/>
  <c r="I146" i="3" s="1"/>
  <c r="G145" i="3"/>
  <c r="I145" i="3" s="1"/>
  <c r="G144" i="3"/>
  <c r="I144" i="3" s="1"/>
  <c r="G143" i="3"/>
  <c r="I143" i="3" s="1"/>
  <c r="G142" i="3"/>
  <c r="I142" i="3" s="1"/>
  <c r="G141" i="3"/>
  <c r="I141" i="3" s="1"/>
  <c r="G140" i="3"/>
  <c r="I140" i="3" s="1"/>
  <c r="G139" i="3"/>
  <c r="I139" i="3" s="1"/>
  <c r="G138" i="3"/>
  <c r="G136" i="3"/>
  <c r="G135" i="3"/>
  <c r="I135" i="3" s="1"/>
  <c r="K135" i="3" s="1"/>
  <c r="G134" i="3"/>
  <c r="G133" i="3"/>
  <c r="I133" i="3" s="1"/>
  <c r="J133" i="3" s="1"/>
  <c r="J126" i="3" s="1"/>
  <c r="G132" i="3"/>
  <c r="I132" i="3" s="1"/>
  <c r="G131" i="3"/>
  <c r="G130" i="3"/>
  <c r="G129" i="3"/>
  <c r="G128" i="3"/>
  <c r="G127" i="3"/>
  <c r="G125" i="3"/>
  <c r="G124" i="3"/>
  <c r="I124" i="3" s="1"/>
  <c r="J124" i="3" s="1"/>
  <c r="G123" i="3"/>
  <c r="I123" i="3" s="1"/>
  <c r="J123" i="3" s="1"/>
  <c r="J117" i="3" s="1"/>
  <c r="G121" i="3"/>
  <c r="G120" i="3"/>
  <c r="G119" i="3"/>
  <c r="G118" i="3"/>
  <c r="H118" i="3" s="1"/>
  <c r="G116" i="3"/>
  <c r="I116" i="3" s="1"/>
  <c r="J116" i="3" s="1"/>
  <c r="G115" i="3"/>
  <c r="G114" i="3"/>
  <c r="I114" i="3" s="1"/>
  <c r="J114" i="3" s="1"/>
  <c r="G113" i="3"/>
  <c r="I113" i="3" s="1"/>
  <c r="G112" i="3"/>
  <c r="G111" i="3"/>
  <c r="G110" i="3"/>
  <c r="I110" i="3" s="1"/>
  <c r="J110" i="3" s="1"/>
  <c r="J108" i="3" s="1"/>
  <c r="G109" i="3"/>
  <c r="G107" i="3"/>
  <c r="G106" i="3"/>
  <c r="G105" i="3"/>
  <c r="G104" i="3"/>
  <c r="I104" i="3" s="1"/>
  <c r="G103" i="3"/>
  <c r="G102" i="3"/>
  <c r="G101" i="3"/>
  <c r="G100" i="3"/>
  <c r="G99" i="3"/>
  <c r="G98" i="3"/>
  <c r="I98" i="3" s="1"/>
  <c r="K98" i="3" s="1"/>
  <c r="K96" i="3" s="1"/>
  <c r="G97" i="3"/>
  <c r="H97" i="3" s="1"/>
  <c r="G95" i="3"/>
  <c r="I95" i="3" s="1"/>
  <c r="J95" i="3" s="1"/>
  <c r="G94" i="3"/>
  <c r="G93" i="3"/>
  <c r="F92" i="3"/>
  <c r="G91" i="3"/>
  <c r="I91" i="3" s="1"/>
  <c r="J91" i="3" s="1"/>
  <c r="G90" i="3"/>
  <c r="I90" i="3" s="1"/>
  <c r="G89" i="3"/>
  <c r="I89" i="3" s="1"/>
  <c r="J89" i="3" s="1"/>
  <c r="G88" i="3"/>
  <c r="G87" i="3"/>
  <c r="G86" i="3"/>
  <c r="I86" i="3" s="1"/>
  <c r="J86" i="3" s="1"/>
  <c r="G85" i="3"/>
  <c r="G83" i="3"/>
  <c r="G82" i="3"/>
  <c r="G81" i="3"/>
  <c r="I81" i="3" s="1"/>
  <c r="J81" i="3" s="1"/>
  <c r="G80" i="3"/>
  <c r="I80" i="3" s="1"/>
  <c r="G79" i="3"/>
  <c r="G78" i="3"/>
  <c r="G77" i="3"/>
  <c r="G76" i="3"/>
  <c r="G75" i="3"/>
  <c r="G74" i="3"/>
  <c r="G73" i="3"/>
  <c r="G71" i="3"/>
  <c r="I71" i="3" s="1"/>
  <c r="J71" i="3" s="1"/>
  <c r="G70" i="3"/>
  <c r="G69" i="3"/>
  <c r="G68" i="3"/>
  <c r="I68" i="3" s="1"/>
  <c r="J68" i="3" s="1"/>
  <c r="G67" i="3"/>
  <c r="I67" i="3" s="1"/>
  <c r="G66" i="3"/>
  <c r="G65" i="3"/>
  <c r="G64" i="3"/>
  <c r="G63" i="3"/>
  <c r="G62" i="3"/>
  <c r="G61" i="3"/>
  <c r="G60" i="3"/>
  <c r="G59" i="3"/>
  <c r="I59" i="3" s="1"/>
  <c r="K59" i="3" s="1"/>
  <c r="G58" i="3"/>
  <c r="G56" i="3"/>
  <c r="G55" i="3"/>
  <c r="H55" i="3" s="1"/>
  <c r="G54" i="3"/>
  <c r="G53" i="3"/>
  <c r="I53" i="3" s="1"/>
  <c r="J53" i="3" s="1"/>
  <c r="J46" i="3" s="1"/>
  <c r="G52" i="3"/>
  <c r="I52" i="3" s="1"/>
  <c r="G51" i="3"/>
  <c r="G50" i="3"/>
  <c r="I50" i="3" s="1"/>
  <c r="G49" i="3"/>
  <c r="G48" i="3"/>
  <c r="G47" i="3"/>
  <c r="G45" i="3"/>
  <c r="I45" i="3" s="1"/>
  <c r="J45" i="3" s="1"/>
  <c r="J30" i="3" s="1"/>
  <c r="G44" i="3"/>
  <c r="G43" i="3"/>
  <c r="G42" i="3"/>
  <c r="G41" i="3"/>
  <c r="I40" i="3"/>
  <c r="G38" i="3"/>
  <c r="G37" i="3"/>
  <c r="G36" i="3"/>
  <c r="G35" i="3"/>
  <c r="G34" i="3"/>
  <c r="G33" i="3"/>
  <c r="G32" i="3"/>
  <c r="G31" i="3"/>
  <c r="H31" i="3" s="1"/>
  <c r="G28" i="3"/>
  <c r="G27" i="3"/>
  <c r="F26" i="3"/>
  <c r="G25" i="3"/>
  <c r="G24" i="3"/>
  <c r="G23" i="3"/>
  <c r="G22" i="3"/>
  <c r="I22" i="3" s="1"/>
  <c r="J22" i="3" s="1"/>
  <c r="G21" i="3"/>
  <c r="I21" i="3" s="1"/>
  <c r="J21" i="3" s="1"/>
  <c r="G20" i="3"/>
  <c r="I20" i="3" s="1"/>
  <c r="G19" i="3"/>
  <c r="G18" i="3"/>
  <c r="G17" i="3"/>
  <c r="G16" i="3"/>
  <c r="G15" i="3"/>
  <c r="G14" i="3"/>
  <c r="I14" i="3" s="1"/>
  <c r="J14" i="3" s="1"/>
  <c r="G13" i="3"/>
  <c r="G12" i="3"/>
  <c r="G11" i="3"/>
  <c r="I111" i="3" l="1"/>
  <c r="H111" i="3"/>
  <c r="H112" i="3"/>
  <c r="I112" i="3" s="1"/>
  <c r="I109" i="3"/>
  <c r="H109" i="3"/>
  <c r="H115" i="3"/>
  <c r="I115" i="3" s="1"/>
  <c r="H128" i="3"/>
  <c r="H136" i="3"/>
  <c r="I136" i="3" s="1"/>
  <c r="H129" i="3"/>
  <c r="I129" i="3" s="1"/>
  <c r="H85" i="3"/>
  <c r="I85" i="3" s="1"/>
  <c r="H93" i="3"/>
  <c r="I93" i="3" s="1"/>
  <c r="H130" i="3"/>
  <c r="I130" i="3" s="1"/>
  <c r="I94" i="3"/>
  <c r="H94" i="3"/>
  <c r="H131" i="3"/>
  <c r="I131" i="3" s="1"/>
  <c r="H87" i="3"/>
  <c r="I87" i="3" s="1"/>
  <c r="H88" i="3"/>
  <c r="I88" i="3" s="1"/>
  <c r="I134" i="3"/>
  <c r="H134" i="3"/>
  <c r="H154" i="3"/>
  <c r="H155" i="3"/>
  <c r="I155" i="3" s="1"/>
  <c r="H156" i="3"/>
  <c r="I156" i="3" s="1"/>
  <c r="H157" i="3"/>
  <c r="I157" i="3" s="1"/>
  <c r="H165" i="3"/>
  <c r="I165" i="3" s="1"/>
  <c r="H166" i="3"/>
  <c r="I166" i="3" s="1"/>
  <c r="H160" i="3"/>
  <c r="I160" i="3" s="1"/>
  <c r="H125" i="3"/>
  <c r="I125" i="3" s="1"/>
  <c r="H119" i="3"/>
  <c r="H120" i="3"/>
  <c r="I120" i="3" s="1"/>
  <c r="H121" i="3"/>
  <c r="I121" i="3" s="1"/>
  <c r="H73" i="3"/>
  <c r="H74" i="3"/>
  <c r="I74" i="3" s="1"/>
  <c r="H82" i="3"/>
  <c r="I82" i="3" s="1"/>
  <c r="H75" i="3"/>
  <c r="I75" i="3" s="1"/>
  <c r="H83" i="3"/>
  <c r="I83" i="3" s="1"/>
  <c r="H76" i="3"/>
  <c r="I76" i="3" s="1"/>
  <c r="J57" i="3"/>
  <c r="H78" i="3"/>
  <c r="I78" i="3" s="1"/>
  <c r="H79" i="3"/>
  <c r="I79" i="3" s="1"/>
  <c r="H16" i="3"/>
  <c r="I16" i="3" s="1"/>
  <c r="H24" i="3"/>
  <c r="I24" i="3" s="1"/>
  <c r="H105" i="3"/>
  <c r="I105" i="3" s="1"/>
  <c r="H25" i="3"/>
  <c r="I25" i="3" s="1"/>
  <c r="H99" i="3"/>
  <c r="H107" i="3"/>
  <c r="I107" i="3" s="1"/>
  <c r="H23" i="3"/>
  <c r="I23" i="3" s="1"/>
  <c r="H103" i="3"/>
  <c r="I103" i="3" s="1"/>
  <c r="H18" i="3"/>
  <c r="I18" i="3" s="1"/>
  <c r="H106" i="3"/>
  <c r="I106" i="3" s="1"/>
  <c r="H19" i="3"/>
  <c r="I19" i="3" s="1"/>
  <c r="H12" i="3"/>
  <c r="I12" i="3" s="1"/>
  <c r="H28" i="3"/>
  <c r="I28" i="3" s="1"/>
  <c r="H100" i="3"/>
  <c r="I100" i="3" s="1"/>
  <c r="H11" i="3"/>
  <c r="I11" i="3" s="1"/>
  <c r="H27" i="3"/>
  <c r="I27" i="3" s="1"/>
  <c r="H13" i="3"/>
  <c r="I13" i="3" s="1"/>
  <c r="H101" i="3"/>
  <c r="I101" i="3" s="1"/>
  <c r="H15" i="3"/>
  <c r="I15" i="3" s="1"/>
  <c r="H17" i="3"/>
  <c r="I17" i="3" s="1"/>
  <c r="H102" i="3"/>
  <c r="I102" i="3" s="1"/>
  <c r="H63" i="3"/>
  <c r="I63" i="3" s="1"/>
  <c r="H64" i="3"/>
  <c r="I64" i="3" s="1"/>
  <c r="H65" i="3"/>
  <c r="I65" i="3" s="1"/>
  <c r="H66" i="3"/>
  <c r="I66" i="3" s="1"/>
  <c r="H60" i="3"/>
  <c r="H61" i="3"/>
  <c r="I61" i="3" s="1"/>
  <c r="H69" i="3"/>
  <c r="I69" i="3" s="1"/>
  <c r="H62" i="3"/>
  <c r="I62" i="3" s="1"/>
  <c r="H70" i="3"/>
  <c r="I70" i="3" s="1"/>
  <c r="H41" i="3"/>
  <c r="I41" i="3" s="1"/>
  <c r="H42" i="3"/>
  <c r="I42" i="3" s="1"/>
  <c r="H43" i="3"/>
  <c r="I43" i="3" s="1"/>
  <c r="H44" i="3"/>
  <c r="I44" i="3" s="1"/>
  <c r="H38" i="3"/>
  <c r="I38" i="3" s="1"/>
  <c r="H37" i="3"/>
  <c r="I37" i="3" s="1"/>
  <c r="I159" i="3"/>
  <c r="H36" i="3"/>
  <c r="I36" i="3" s="1"/>
  <c r="H32" i="3"/>
  <c r="H34" i="3"/>
  <c r="I34" i="3" s="1"/>
  <c r="H33" i="3"/>
  <c r="I33" i="3" s="1"/>
  <c r="H35" i="3"/>
  <c r="I35" i="3" s="1"/>
  <c r="I47" i="3"/>
  <c r="K47" i="3" s="1"/>
  <c r="K46" i="3" s="1"/>
  <c r="G46" i="3"/>
  <c r="H56" i="3"/>
  <c r="I56" i="3" s="1"/>
  <c r="L9" i="3"/>
  <c r="M9" i="3" s="1"/>
  <c r="I55" i="3"/>
  <c r="F152" i="3"/>
  <c r="I58" i="3"/>
  <c r="K58" i="3" s="1"/>
  <c r="K57" i="3" s="1"/>
  <c r="G92" i="3"/>
  <c r="I92" i="3" s="1"/>
  <c r="J92" i="3" s="1"/>
  <c r="J84" i="3" s="1"/>
  <c r="H54" i="3"/>
  <c r="I54" i="3" s="1"/>
  <c r="H51" i="3"/>
  <c r="I51" i="3" s="1"/>
  <c r="H48" i="3"/>
  <c r="I48" i="3" s="1"/>
  <c r="H49" i="3"/>
  <c r="I49" i="3" s="1"/>
  <c r="F391" i="1"/>
  <c r="I138" i="3"/>
  <c r="I77" i="3"/>
  <c r="J77" i="3" s="1"/>
  <c r="J72" i="3" s="1"/>
  <c r="D9" i="3"/>
  <c r="G26" i="3"/>
  <c r="I31" i="3"/>
  <c r="I97" i="3"/>
  <c r="G164" i="3"/>
  <c r="E9" i="3"/>
  <c r="I118" i="3"/>
  <c r="I127" i="3"/>
  <c r="K127" i="3" s="1"/>
  <c r="K126" i="3" s="1"/>
  <c r="G122" i="2"/>
  <c r="I122" i="2" s="1"/>
  <c r="G113" i="2"/>
  <c r="I113" i="2" s="1"/>
  <c r="G97" i="2"/>
  <c r="I97" i="2" s="1"/>
  <c r="G22" i="2"/>
  <c r="G18" i="2"/>
  <c r="I18" i="2" s="1"/>
  <c r="G8" i="2"/>
  <c r="I8" i="2" s="1"/>
  <c r="J8" i="2" s="1"/>
  <c r="H108" i="3" l="1"/>
  <c r="H126" i="3"/>
  <c r="K97" i="2"/>
  <c r="J97" i="2" s="1"/>
  <c r="H22" i="2"/>
  <c r="J18" i="2"/>
  <c r="J122" i="2"/>
  <c r="J113" i="2"/>
  <c r="I128" i="3"/>
  <c r="H84" i="3"/>
  <c r="F167" i="3"/>
  <c r="F153" i="3" s="1"/>
  <c r="H164" i="3"/>
  <c r="H153" i="3" s="1"/>
  <c r="I154" i="3"/>
  <c r="H117" i="3"/>
  <c r="I119" i="3"/>
  <c r="I117" i="3" s="1"/>
  <c r="H96" i="3"/>
  <c r="H72" i="3"/>
  <c r="I99" i="3"/>
  <c r="I73" i="3"/>
  <c r="H10" i="3"/>
  <c r="H57" i="3"/>
  <c r="I60" i="3"/>
  <c r="H30" i="3"/>
  <c r="I32" i="3"/>
  <c r="I84" i="3"/>
  <c r="F126" i="3"/>
  <c r="G167" i="3"/>
  <c r="F137" i="3"/>
  <c r="G152" i="3"/>
  <c r="G117" i="3"/>
  <c r="F117" i="3"/>
  <c r="F57" i="3"/>
  <c r="F96" i="3"/>
  <c r="F108" i="3"/>
  <c r="G126" i="3"/>
  <c r="I126" i="3"/>
  <c r="F72" i="3"/>
  <c r="F30" i="3"/>
  <c r="H46" i="3"/>
  <c r="F46" i="3"/>
  <c r="G29" i="3"/>
  <c r="F10" i="3"/>
  <c r="I26" i="3"/>
  <c r="K26" i="3" s="1"/>
  <c r="K10" i="3" s="1"/>
  <c r="K9" i="3" s="1"/>
  <c r="I146" i="1"/>
  <c r="J146" i="1" s="1"/>
  <c r="G124" i="1"/>
  <c r="G26" i="2"/>
  <c r="M10" i="3" l="1"/>
  <c r="I22" i="2"/>
  <c r="J22" i="2" s="1"/>
  <c r="X22" i="2"/>
  <c r="H124" i="1"/>
  <c r="I124" i="1" s="1"/>
  <c r="J124" i="1" s="1"/>
  <c r="H26" i="2"/>
  <c r="I164" i="3"/>
  <c r="M11" i="3"/>
  <c r="H9" i="3"/>
  <c r="I167" i="3"/>
  <c r="G153" i="3"/>
  <c r="G84" i="3"/>
  <c r="F84" i="3"/>
  <c r="F9" i="3" s="1"/>
  <c r="I152" i="3"/>
  <c r="I137" i="3" s="1"/>
  <c r="G137" i="3"/>
  <c r="G108" i="3"/>
  <c r="I108" i="3"/>
  <c r="I96" i="3"/>
  <c r="G96" i="3"/>
  <c r="I72" i="3"/>
  <c r="G72" i="3"/>
  <c r="I57" i="3"/>
  <c r="G57" i="3"/>
  <c r="I46" i="3"/>
  <c r="I30" i="3"/>
  <c r="G30" i="3"/>
  <c r="G10" i="3"/>
  <c r="I29" i="3"/>
  <c r="G123" i="1"/>
  <c r="I123" i="1" s="1"/>
  <c r="G139" i="1"/>
  <c r="H139" i="1" s="1"/>
  <c r="G143" i="1"/>
  <c r="I143" i="1" s="1"/>
  <c r="J143" i="1" s="1"/>
  <c r="G59" i="1"/>
  <c r="I59" i="1" s="1"/>
  <c r="J59" i="1" s="1"/>
  <c r="G350" i="1"/>
  <c r="I350" i="1" s="1"/>
  <c r="J350" i="1" s="1"/>
  <c r="G409" i="1"/>
  <c r="G297" i="1"/>
  <c r="I297" i="1" s="1"/>
  <c r="J297" i="1" s="1"/>
  <c r="G354" i="1"/>
  <c r="I354" i="1" s="1"/>
  <c r="J354" i="1" s="1"/>
  <c r="G300" i="1"/>
  <c r="G281" i="1"/>
  <c r="I281" i="1" s="1"/>
  <c r="J281" i="1" s="1"/>
  <c r="G282" i="1"/>
  <c r="G283" i="1"/>
  <c r="I283" i="1" s="1"/>
  <c r="J283" i="1" s="1"/>
  <c r="G284" i="1"/>
  <c r="I284" i="1" s="1"/>
  <c r="J284" i="1" s="1"/>
  <c r="G285" i="1"/>
  <c r="G286" i="1"/>
  <c r="I286" i="1" s="1"/>
  <c r="J286" i="1" s="1"/>
  <c r="G287" i="1"/>
  <c r="I287" i="1" s="1"/>
  <c r="J287" i="1" s="1"/>
  <c r="G288" i="1"/>
  <c r="I288" i="1" s="1"/>
  <c r="J288" i="1" s="1"/>
  <c r="G289" i="1"/>
  <c r="I289" i="1" s="1"/>
  <c r="J289" i="1" s="1"/>
  <c r="G290" i="1"/>
  <c r="I290" i="1" s="1"/>
  <c r="J290" i="1" s="1"/>
  <c r="G291" i="1"/>
  <c r="G292" i="1"/>
  <c r="F280" i="1"/>
  <c r="K280" i="1"/>
  <c r="D280" i="1"/>
  <c r="G84" i="2"/>
  <c r="G53" i="1"/>
  <c r="G314" i="1"/>
  <c r="I314" i="1" s="1"/>
  <c r="G313" i="1"/>
  <c r="G319" i="1"/>
  <c r="F317" i="1"/>
  <c r="D317" i="1"/>
  <c r="G122" i="1"/>
  <c r="I122" i="1" s="1"/>
  <c r="J122" i="1" s="1"/>
  <c r="I26" i="2" l="1"/>
  <c r="J26" i="2" s="1"/>
  <c r="X26" i="2"/>
  <c r="H409" i="1"/>
  <c r="I409" i="1" s="1"/>
  <c r="J409" i="1" s="1"/>
  <c r="H291" i="1"/>
  <c r="H292" i="1"/>
  <c r="I292" i="1" s="1"/>
  <c r="J292" i="1" s="1"/>
  <c r="H319" i="1"/>
  <c r="H318" i="1" s="1"/>
  <c r="H317" i="1" s="1"/>
  <c r="R317" i="1" s="1"/>
  <c r="H53" i="1"/>
  <c r="I53" i="1" s="1"/>
  <c r="J53" i="1" s="1"/>
  <c r="H84" i="2"/>
  <c r="J314" i="1"/>
  <c r="I282" i="1"/>
  <c r="J282" i="1" s="1"/>
  <c r="I285" i="1"/>
  <c r="J285" i="1" s="1"/>
  <c r="J123" i="1"/>
  <c r="K317" i="1"/>
  <c r="N317" i="1"/>
  <c r="I153" i="3"/>
  <c r="J167" i="3"/>
  <c r="J153" i="3" s="1"/>
  <c r="I10" i="3"/>
  <c r="J29" i="3"/>
  <c r="J10" i="3" s="1"/>
  <c r="G9" i="3"/>
  <c r="I300" i="1"/>
  <c r="G299" i="1"/>
  <c r="G272" i="1"/>
  <c r="I272" i="1" s="1"/>
  <c r="I139" i="1"/>
  <c r="J139" i="1" s="1"/>
  <c r="G280" i="1"/>
  <c r="I313" i="1"/>
  <c r="G137" i="1"/>
  <c r="I137" i="1" s="1"/>
  <c r="J137" i="1" s="1"/>
  <c r="G162" i="2"/>
  <c r="G145" i="2"/>
  <c r="I145" i="2" s="1"/>
  <c r="J145" i="2" s="1"/>
  <c r="G132" i="2"/>
  <c r="I132" i="2" s="1"/>
  <c r="J132" i="2" s="1"/>
  <c r="G128" i="2"/>
  <c r="I128" i="2" s="1"/>
  <c r="J128" i="2" s="1"/>
  <c r="G121" i="2"/>
  <c r="I121" i="2" s="1"/>
  <c r="I84" i="2" l="1"/>
  <c r="J84" i="2" s="1"/>
  <c r="H310" i="1"/>
  <c r="I310" i="1" s="1"/>
  <c r="J310" i="1" s="1"/>
  <c r="H280" i="1"/>
  <c r="R280" i="1" s="1"/>
  <c r="I291" i="1"/>
  <c r="J291" i="1" s="1"/>
  <c r="J313" i="1"/>
  <c r="I319" i="1"/>
  <c r="J319" i="1" s="1"/>
  <c r="I299" i="1"/>
  <c r="U299" i="1" s="1"/>
  <c r="K300" i="1"/>
  <c r="K121" i="2"/>
  <c r="J121" i="2" s="1"/>
  <c r="H162" i="2"/>
  <c r="I162" i="2" s="1"/>
  <c r="J162" i="2" s="1"/>
  <c r="J9" i="3"/>
  <c r="I9" i="3"/>
  <c r="T280" i="1"/>
  <c r="G61" i="2"/>
  <c r="G396" i="1"/>
  <c r="O9" i="3" l="1"/>
  <c r="N9" i="3"/>
  <c r="H396" i="1"/>
  <c r="I396" i="1" s="1"/>
  <c r="J396" i="1" s="1"/>
  <c r="I280" i="1"/>
  <c r="U280" i="1" s="1"/>
  <c r="J300" i="1"/>
  <c r="M300" i="1"/>
  <c r="M299" i="1" s="1"/>
  <c r="K299" i="1"/>
  <c r="M62" i="2"/>
  <c r="O61" i="2"/>
  <c r="I61" i="2"/>
  <c r="J61" i="2"/>
  <c r="G349" i="1"/>
  <c r="I349" i="1" s="1"/>
  <c r="J349" i="1" s="1"/>
  <c r="G190" i="1"/>
  <c r="G336" i="1"/>
  <c r="I336" i="1" s="1"/>
  <c r="J336" i="1" s="1"/>
  <c r="G335" i="1"/>
  <c r="G155" i="2"/>
  <c r="I155" i="2" s="1"/>
  <c r="J155" i="2" s="1"/>
  <c r="G156" i="2"/>
  <c r="G157" i="2"/>
  <c r="G395" i="1"/>
  <c r="H395" i="1" s="1"/>
  <c r="G159" i="1"/>
  <c r="G89" i="1"/>
  <c r="I89" i="1" s="1"/>
  <c r="J89" i="1" s="1"/>
  <c r="F382" i="1"/>
  <c r="H382" i="1"/>
  <c r="D382" i="1"/>
  <c r="G348" i="1"/>
  <c r="I348" i="1" s="1"/>
  <c r="J348" i="1" s="1"/>
  <c r="G334" i="1"/>
  <c r="I334" i="1" s="1"/>
  <c r="J334" i="1" s="1"/>
  <c r="G256" i="1"/>
  <c r="I256" i="1" s="1"/>
  <c r="J256" i="1" s="1"/>
  <c r="G253" i="1"/>
  <c r="I253" i="1" s="1"/>
  <c r="J253" i="1" s="1"/>
  <c r="G136" i="1"/>
  <c r="I136" i="1" s="1"/>
  <c r="J136" i="1" s="1"/>
  <c r="G112" i="1"/>
  <c r="G88" i="1"/>
  <c r="I88" i="1" s="1"/>
  <c r="J88" i="1" s="1"/>
  <c r="G121" i="1"/>
  <c r="I121" i="1" s="1"/>
  <c r="J121" i="1" s="1"/>
  <c r="H112" i="1" l="1"/>
  <c r="I112" i="1" s="1"/>
  <c r="J112" i="1" s="1"/>
  <c r="H159" i="1"/>
  <c r="I159" i="1" s="1"/>
  <c r="J159" i="1" s="1"/>
  <c r="H190" i="1"/>
  <c r="I190" i="1" s="1"/>
  <c r="J190" i="1" s="1"/>
  <c r="H335" i="1"/>
  <c r="I335" i="1" s="1"/>
  <c r="J335" i="1" s="1"/>
  <c r="I157" i="2"/>
  <c r="J157" i="2" s="1"/>
  <c r="Q61" i="2"/>
  <c r="P61" i="2"/>
  <c r="I395" i="1"/>
  <c r="J395" i="1" s="1"/>
  <c r="G222" i="1"/>
  <c r="G394" i="1"/>
  <c r="H394" i="1" s="1"/>
  <c r="G161" i="2"/>
  <c r="G153" i="2"/>
  <c r="I153" i="2" s="1"/>
  <c r="J153" i="2" s="1"/>
  <c r="G149" i="2"/>
  <c r="I149" i="2" s="1"/>
  <c r="J149" i="2" s="1"/>
  <c r="G140" i="2"/>
  <c r="I140" i="2" s="1"/>
  <c r="J140" i="2" s="1"/>
  <c r="I136" i="2"/>
  <c r="J136" i="2" s="1"/>
  <c r="G93" i="2"/>
  <c r="G81" i="2"/>
  <c r="G333" i="1"/>
  <c r="I333" i="1" s="1"/>
  <c r="J333" i="1" s="1"/>
  <c r="E132" i="1"/>
  <c r="F132" i="1"/>
  <c r="H132" i="1"/>
  <c r="R132" i="1" s="1"/>
  <c r="D132" i="1"/>
  <c r="G255" i="1"/>
  <c r="J423" i="1"/>
  <c r="G423" i="1"/>
  <c r="I423" i="1" s="1"/>
  <c r="G422" i="1"/>
  <c r="K421" i="1"/>
  <c r="F421" i="1"/>
  <c r="E421" i="1"/>
  <c r="D421" i="1"/>
  <c r="G238" i="1"/>
  <c r="I238" i="1" s="1"/>
  <c r="J238" i="1" s="1"/>
  <c r="I197" i="1"/>
  <c r="J197" i="1" s="1"/>
  <c r="I196" i="1"/>
  <c r="J196" i="1" s="1"/>
  <c r="I193" i="1"/>
  <c r="E192" i="1"/>
  <c r="F192" i="1"/>
  <c r="D192" i="1"/>
  <c r="G158" i="1"/>
  <c r="I158" i="1" s="1"/>
  <c r="J158" i="1" s="1"/>
  <c r="G189" i="1"/>
  <c r="G408" i="1"/>
  <c r="H408" i="1" s="1"/>
  <c r="G404" i="1"/>
  <c r="H404" i="1" s="1"/>
  <c r="G406" i="1"/>
  <c r="G407" i="1"/>
  <c r="G403" i="1"/>
  <c r="H403" i="1" s="1"/>
  <c r="G372" i="1"/>
  <c r="I372" i="1" s="1"/>
  <c r="J372" i="1" s="1"/>
  <c r="G373" i="1"/>
  <c r="I373" i="1" s="1"/>
  <c r="J373" i="1" s="1"/>
  <c r="G371" i="1"/>
  <c r="I371" i="1" s="1"/>
  <c r="E370" i="1"/>
  <c r="F370" i="1"/>
  <c r="H370" i="1"/>
  <c r="D370" i="1"/>
  <c r="G173" i="1"/>
  <c r="I173" i="1" s="1"/>
  <c r="J173" i="1" s="1"/>
  <c r="G150" i="1"/>
  <c r="I150" i="1" s="1"/>
  <c r="G151" i="1"/>
  <c r="I151" i="1" s="1"/>
  <c r="G152" i="1"/>
  <c r="I152" i="1" s="1"/>
  <c r="G153" i="1"/>
  <c r="I153" i="1" s="1"/>
  <c r="J153" i="1" s="1"/>
  <c r="G154" i="1"/>
  <c r="G155" i="1"/>
  <c r="G156" i="1"/>
  <c r="I156" i="1" s="1"/>
  <c r="J156" i="1" s="1"/>
  <c r="G157" i="1"/>
  <c r="I157" i="1" s="1"/>
  <c r="J157" i="1" s="1"/>
  <c r="G148" i="1"/>
  <c r="F147" i="1"/>
  <c r="D147" i="1"/>
  <c r="G26" i="1"/>
  <c r="I26" i="1" s="1"/>
  <c r="G188" i="1"/>
  <c r="G393" i="1"/>
  <c r="H393" i="1" s="1"/>
  <c r="H392" i="1" s="1"/>
  <c r="G187" i="1"/>
  <c r="G130" i="1"/>
  <c r="I130" i="1" s="1"/>
  <c r="G131" i="1"/>
  <c r="G129" i="1"/>
  <c r="E128" i="1"/>
  <c r="F128" i="1"/>
  <c r="K128" i="1"/>
  <c r="E119" i="1"/>
  <c r="F119" i="1"/>
  <c r="K119" i="1"/>
  <c r="D128" i="1"/>
  <c r="G387" i="1"/>
  <c r="Q384" i="1"/>
  <c r="Q369" i="1" s="1"/>
  <c r="F384" i="1"/>
  <c r="D384" i="1"/>
  <c r="J268" i="1"/>
  <c r="G262" i="1"/>
  <c r="G261" i="1" s="1"/>
  <c r="E261" i="1"/>
  <c r="F261" i="1"/>
  <c r="H261" i="1"/>
  <c r="R261" i="1" s="1"/>
  <c r="D261" i="1"/>
  <c r="G25" i="1"/>
  <c r="H25" i="1" s="1"/>
  <c r="E35" i="1"/>
  <c r="F35" i="1"/>
  <c r="H35" i="1"/>
  <c r="K35" i="1"/>
  <c r="G36" i="1"/>
  <c r="I36" i="1" s="1"/>
  <c r="J36" i="1" s="1"/>
  <c r="G24" i="1"/>
  <c r="G61" i="1"/>
  <c r="I61" i="1" s="1"/>
  <c r="F60" i="1"/>
  <c r="D60" i="1"/>
  <c r="G120" i="1"/>
  <c r="H120" i="1" s="1"/>
  <c r="H119" i="1" s="1"/>
  <c r="R119" i="1" s="1"/>
  <c r="G181" i="1"/>
  <c r="I181" i="1" s="1"/>
  <c r="G182" i="1"/>
  <c r="I182" i="1" s="1"/>
  <c r="G183" i="1"/>
  <c r="I183" i="1" s="1"/>
  <c r="J183" i="1" s="1"/>
  <c r="G184" i="1"/>
  <c r="I184" i="1" s="1"/>
  <c r="J184" i="1" s="1"/>
  <c r="G185" i="1"/>
  <c r="I185" i="1" s="1"/>
  <c r="J185" i="1" s="1"/>
  <c r="G186" i="1"/>
  <c r="I186" i="1" s="1"/>
  <c r="J186" i="1" s="1"/>
  <c r="F178" i="1"/>
  <c r="D178" i="1"/>
  <c r="G225" i="1"/>
  <c r="I225" i="1" s="1"/>
  <c r="J225" i="1" s="1"/>
  <c r="G226" i="1"/>
  <c r="I226" i="1" s="1"/>
  <c r="J226" i="1" s="1"/>
  <c r="G227" i="1"/>
  <c r="G228" i="1"/>
  <c r="I228" i="1" s="1"/>
  <c r="J228" i="1" s="1"/>
  <c r="G229" i="1"/>
  <c r="I229" i="1" s="1"/>
  <c r="J229" i="1" s="1"/>
  <c r="G230" i="1"/>
  <c r="I230" i="1" s="1"/>
  <c r="J230" i="1" s="1"/>
  <c r="G231" i="1"/>
  <c r="H231" i="1" s="1"/>
  <c r="G232" i="1"/>
  <c r="I232" i="1" s="1"/>
  <c r="J232" i="1" s="1"/>
  <c r="G233" i="1"/>
  <c r="I233" i="1" s="1"/>
  <c r="J233" i="1" s="1"/>
  <c r="G234" i="1"/>
  <c r="G235" i="1"/>
  <c r="G236" i="1"/>
  <c r="I236" i="1" s="1"/>
  <c r="J236" i="1" s="1"/>
  <c r="G237" i="1"/>
  <c r="I237" i="1" s="1"/>
  <c r="J237" i="1" s="1"/>
  <c r="F223" i="1"/>
  <c r="K223" i="1"/>
  <c r="D223" i="1"/>
  <c r="G242" i="1"/>
  <c r="G243" i="1"/>
  <c r="I243" i="1" s="1"/>
  <c r="J243" i="1" s="1"/>
  <c r="G244" i="1"/>
  <c r="I244" i="1" s="1"/>
  <c r="J244" i="1" s="1"/>
  <c r="G245" i="1"/>
  <c r="H245" i="1" s="1"/>
  <c r="G246" i="1"/>
  <c r="H246" i="1" s="1"/>
  <c r="G247" i="1"/>
  <c r="I247" i="1" s="1"/>
  <c r="J247" i="1" s="1"/>
  <c r="G248" i="1"/>
  <c r="I248" i="1" s="1"/>
  <c r="J248" i="1" s="1"/>
  <c r="G249" i="1"/>
  <c r="H249" i="1" s="1"/>
  <c r="G250" i="1"/>
  <c r="I250" i="1" s="1"/>
  <c r="J250" i="1" s="1"/>
  <c r="G251" i="1"/>
  <c r="G254" i="1"/>
  <c r="G241" i="1"/>
  <c r="F240" i="1"/>
  <c r="D240" i="1"/>
  <c r="G14" i="1"/>
  <c r="H14" i="1" s="1"/>
  <c r="G15" i="1"/>
  <c r="G16" i="1"/>
  <c r="G17" i="1"/>
  <c r="G18" i="1"/>
  <c r="G21" i="1"/>
  <c r="I21" i="1" s="1"/>
  <c r="J21" i="1" s="1"/>
  <c r="G22" i="1"/>
  <c r="I22" i="1" s="1"/>
  <c r="J22" i="1" s="1"/>
  <c r="G23" i="1"/>
  <c r="I23" i="1" s="1"/>
  <c r="J23" i="1" s="1"/>
  <c r="G13" i="1"/>
  <c r="I13" i="1" s="1"/>
  <c r="G419" i="1"/>
  <c r="I419" i="1" s="1"/>
  <c r="J419" i="1" s="1"/>
  <c r="K418" i="1"/>
  <c r="H418" i="1"/>
  <c r="F418" i="1"/>
  <c r="E418" i="1"/>
  <c r="D418" i="1"/>
  <c r="G417" i="1"/>
  <c r="K416" i="1"/>
  <c r="H416" i="1"/>
  <c r="F416" i="1"/>
  <c r="E416" i="1"/>
  <c r="D416" i="1"/>
  <c r="G415" i="1"/>
  <c r="I415" i="1" s="1"/>
  <c r="J415" i="1" s="1"/>
  <c r="K414" i="1"/>
  <c r="H414" i="1"/>
  <c r="F414" i="1"/>
  <c r="E414" i="1"/>
  <c r="D414" i="1"/>
  <c r="G332" i="1"/>
  <c r="I332" i="1" s="1"/>
  <c r="J332" i="1" s="1"/>
  <c r="G360" i="1"/>
  <c r="G134" i="1"/>
  <c r="G135" i="1"/>
  <c r="I135" i="1" s="1"/>
  <c r="J135" i="1" s="1"/>
  <c r="G133" i="1"/>
  <c r="I133" i="1" s="1"/>
  <c r="J133" i="1" s="1"/>
  <c r="G359" i="1"/>
  <c r="F358" i="1"/>
  <c r="E358" i="1"/>
  <c r="R358" i="1" s="1"/>
  <c r="D358" i="1"/>
  <c r="G84" i="1"/>
  <c r="I84" i="1" s="1"/>
  <c r="J84" i="1" s="1"/>
  <c r="G85" i="1"/>
  <c r="I85" i="1" s="1"/>
  <c r="G86" i="1"/>
  <c r="I86" i="1" s="1"/>
  <c r="J86" i="1" s="1"/>
  <c r="G87" i="1"/>
  <c r="I87" i="1" s="1"/>
  <c r="J87" i="1" s="1"/>
  <c r="O82" i="1"/>
  <c r="G97" i="1"/>
  <c r="H97" i="1" s="1"/>
  <c r="G83" i="1"/>
  <c r="I83" i="1" s="1"/>
  <c r="K83" i="1" s="1"/>
  <c r="M83" i="1" s="1"/>
  <c r="E82" i="1"/>
  <c r="F82" i="1"/>
  <c r="D82" i="1"/>
  <c r="G204" i="1"/>
  <c r="I204" i="1" s="1"/>
  <c r="J204" i="1" s="1"/>
  <c r="G205" i="1"/>
  <c r="H205" i="1" s="1"/>
  <c r="G206" i="1"/>
  <c r="G207" i="1"/>
  <c r="G208" i="1"/>
  <c r="I208" i="1" s="1"/>
  <c r="J208" i="1" s="1"/>
  <c r="G210" i="1"/>
  <c r="G211" i="1"/>
  <c r="I211" i="1" s="1"/>
  <c r="J211" i="1" s="1"/>
  <c r="G212" i="1"/>
  <c r="I212" i="1" s="1"/>
  <c r="J212" i="1" s="1"/>
  <c r="G213" i="1"/>
  <c r="G214" i="1"/>
  <c r="I214" i="1" s="1"/>
  <c r="J214" i="1" s="1"/>
  <c r="G215" i="1"/>
  <c r="I215" i="1" s="1"/>
  <c r="J215" i="1" s="1"/>
  <c r="G216" i="1"/>
  <c r="I216" i="1" s="1"/>
  <c r="J216" i="1" s="1"/>
  <c r="G217" i="1"/>
  <c r="I217" i="1" s="1"/>
  <c r="J217" i="1" s="1"/>
  <c r="G218" i="1"/>
  <c r="I218" i="1" s="1"/>
  <c r="J218" i="1" s="1"/>
  <c r="G219" i="1"/>
  <c r="G220" i="1"/>
  <c r="G221" i="1"/>
  <c r="G203" i="1"/>
  <c r="I203" i="1" s="1"/>
  <c r="J203" i="1" s="1"/>
  <c r="F202" i="1"/>
  <c r="D202" i="1"/>
  <c r="I407" i="1" l="1"/>
  <c r="J407" i="1" s="1"/>
  <c r="H407" i="1"/>
  <c r="H406" i="1"/>
  <c r="I406" i="1" s="1"/>
  <c r="J406" i="1" s="1"/>
  <c r="H227" i="1"/>
  <c r="I227" i="1" s="1"/>
  <c r="J227" i="1" s="1"/>
  <c r="H131" i="1"/>
  <c r="H128" i="1" s="1"/>
  <c r="R128" i="1" s="1"/>
  <c r="H241" i="1"/>
  <c r="I241" i="1" s="1"/>
  <c r="J241" i="1" s="1"/>
  <c r="H154" i="1"/>
  <c r="H254" i="1"/>
  <c r="I254" i="1" s="1"/>
  <c r="J254" i="1" s="1"/>
  <c r="H251" i="1"/>
  <c r="I251" i="1" s="1"/>
  <c r="J251" i="1" s="1"/>
  <c r="H155" i="1"/>
  <c r="I155" i="1" s="1"/>
  <c r="J155" i="1" s="1"/>
  <c r="H213" i="1"/>
  <c r="I213" i="1" s="1"/>
  <c r="J213" i="1" s="1"/>
  <c r="H220" i="1"/>
  <c r="I220" i="1" s="1"/>
  <c r="J220" i="1" s="1"/>
  <c r="H207" i="1"/>
  <c r="I207" i="1" s="1"/>
  <c r="J207" i="1" s="1"/>
  <c r="H219" i="1"/>
  <c r="I219" i="1" s="1"/>
  <c r="J219" i="1" s="1"/>
  <c r="H206" i="1"/>
  <c r="I206" i="1" s="1"/>
  <c r="J206" i="1" s="1"/>
  <c r="F413" i="1"/>
  <c r="K413" i="1"/>
  <c r="D413" i="1"/>
  <c r="E413" i="1"/>
  <c r="R413" i="1" s="1"/>
  <c r="H387" i="1"/>
  <c r="H385" i="1" s="1"/>
  <c r="H384" i="1" s="1"/>
  <c r="H369" i="1" s="1"/>
  <c r="H422" i="1"/>
  <c r="H421" i="1" s="1"/>
  <c r="H413" i="1" s="1"/>
  <c r="H235" i="1"/>
  <c r="H189" i="1"/>
  <c r="I189" i="1" s="1"/>
  <c r="J189" i="1" s="1"/>
  <c r="H187" i="1"/>
  <c r="H188" i="1"/>
  <c r="I188" i="1" s="1"/>
  <c r="J188" i="1" s="1"/>
  <c r="G392" i="1"/>
  <c r="I97" i="1"/>
  <c r="J97" i="1" s="1"/>
  <c r="G82" i="1"/>
  <c r="I404" i="1"/>
  <c r="H161" i="2"/>
  <c r="I161" i="2" s="1"/>
  <c r="J161" i="2" s="1"/>
  <c r="H81" i="2"/>
  <c r="I14" i="1"/>
  <c r="H255" i="1"/>
  <c r="H154" i="2"/>
  <c r="N155" i="2" s="1"/>
  <c r="I156" i="2"/>
  <c r="J156" i="2" s="1"/>
  <c r="I93" i="2"/>
  <c r="J93" i="2" s="1"/>
  <c r="J371" i="1"/>
  <c r="I222" i="1"/>
  <c r="J222" i="1" s="1"/>
  <c r="I221" i="1"/>
  <c r="J221" i="1" s="1"/>
  <c r="I249" i="1"/>
  <c r="J249" i="1" s="1"/>
  <c r="I246" i="1"/>
  <c r="J246" i="1" s="1"/>
  <c r="I245" i="1"/>
  <c r="J245" i="1" s="1"/>
  <c r="I242" i="1"/>
  <c r="J242" i="1" s="1"/>
  <c r="I231" i="1"/>
  <c r="J231" i="1" s="1"/>
  <c r="I234" i="1"/>
  <c r="J234" i="1" s="1"/>
  <c r="I205" i="1"/>
  <c r="J205" i="1" s="1"/>
  <c r="I210" i="1"/>
  <c r="J210" i="1" s="1"/>
  <c r="J193" i="1"/>
  <c r="J182" i="1"/>
  <c r="J181" i="1"/>
  <c r="J152" i="1"/>
  <c r="J151" i="1"/>
  <c r="J150" i="1"/>
  <c r="J130" i="1"/>
  <c r="J83" i="1"/>
  <c r="J61" i="1"/>
  <c r="Q11" i="1"/>
  <c r="I24" i="1"/>
  <c r="J13" i="1"/>
  <c r="I25" i="1"/>
  <c r="J25" i="1" s="1"/>
  <c r="I18" i="1"/>
  <c r="J18" i="1" s="1"/>
  <c r="I17" i="1"/>
  <c r="J17" i="1" s="1"/>
  <c r="I16" i="1"/>
  <c r="J16" i="1" s="1"/>
  <c r="I15" i="1"/>
  <c r="J15" i="1" s="1"/>
  <c r="K132" i="1"/>
  <c r="M132" i="1"/>
  <c r="K202" i="1"/>
  <c r="O202" i="1"/>
  <c r="O201" i="1" s="1"/>
  <c r="K192" i="1"/>
  <c r="M192" i="1"/>
  <c r="K147" i="1"/>
  <c r="M147" i="1"/>
  <c r="K391" i="1"/>
  <c r="L407" i="1"/>
  <c r="K178" i="1"/>
  <c r="Q178" i="1"/>
  <c r="Q261" i="1"/>
  <c r="Q201" i="1" s="1"/>
  <c r="I394" i="1"/>
  <c r="J394" i="1" s="1"/>
  <c r="T261" i="1"/>
  <c r="F201" i="1"/>
  <c r="F369" i="1"/>
  <c r="I403" i="1"/>
  <c r="J403" i="1" s="1"/>
  <c r="G132" i="1"/>
  <c r="G421" i="1"/>
  <c r="G192" i="1"/>
  <c r="G119" i="1"/>
  <c r="I414" i="1"/>
  <c r="I370" i="1"/>
  <c r="G370" i="1"/>
  <c r="I148" i="1"/>
  <c r="I393" i="1"/>
  <c r="G414" i="1"/>
  <c r="G128" i="1"/>
  <c r="I129" i="1"/>
  <c r="J129" i="1" s="1"/>
  <c r="I262" i="1"/>
  <c r="J262" i="1" s="1"/>
  <c r="I35" i="1"/>
  <c r="G35" i="1"/>
  <c r="F11" i="1"/>
  <c r="G418" i="1"/>
  <c r="J414" i="1"/>
  <c r="G416" i="1"/>
  <c r="I417" i="1"/>
  <c r="J417" i="1" s="1"/>
  <c r="G358" i="1"/>
  <c r="I134" i="1"/>
  <c r="I359" i="1"/>
  <c r="J359" i="1" s="1"/>
  <c r="I81" i="2" l="1"/>
  <c r="J81" i="2" s="1"/>
  <c r="H308" i="1"/>
  <c r="I308" i="1" s="1"/>
  <c r="H223" i="1"/>
  <c r="R223" i="1" s="1"/>
  <c r="H240" i="1"/>
  <c r="R240" i="1" s="1"/>
  <c r="H147" i="1"/>
  <c r="R147" i="1" s="1"/>
  <c r="L402" i="1"/>
  <c r="L391" i="1" s="1"/>
  <c r="L9" i="1" s="1"/>
  <c r="E8" i="7" s="1"/>
  <c r="E15" i="7" s="1"/>
  <c r="K24" i="1"/>
  <c r="J24" i="1" s="1"/>
  <c r="I154" i="1"/>
  <c r="J154" i="1" s="1"/>
  <c r="I131" i="1"/>
  <c r="J131" i="1" s="1"/>
  <c r="G413" i="1"/>
  <c r="I387" i="1"/>
  <c r="J387" i="1" s="1"/>
  <c r="I422" i="1"/>
  <c r="I235" i="1"/>
  <c r="J235" i="1" s="1"/>
  <c r="H178" i="1"/>
  <c r="R178" i="1" s="1"/>
  <c r="I187" i="1"/>
  <c r="J187" i="1" s="1"/>
  <c r="I392" i="1"/>
  <c r="J404" i="1"/>
  <c r="J393" i="1"/>
  <c r="J392" i="1" s="1"/>
  <c r="J14" i="1"/>
  <c r="I255" i="1"/>
  <c r="J255" i="1" s="1"/>
  <c r="I418" i="1"/>
  <c r="U418" i="1" s="1"/>
  <c r="J418" i="1"/>
  <c r="O352" i="1"/>
  <c r="J148" i="1"/>
  <c r="I132" i="1"/>
  <c r="U132" i="1" s="1"/>
  <c r="J134" i="1"/>
  <c r="Q10" i="1"/>
  <c r="Q9" i="1" s="1"/>
  <c r="K8" i="7" s="1"/>
  <c r="K15" i="7" s="1"/>
  <c r="K370" i="1"/>
  <c r="M370" i="1"/>
  <c r="H358" i="1"/>
  <c r="H60" i="1"/>
  <c r="R60" i="1" s="1"/>
  <c r="I82" i="1"/>
  <c r="H82" i="1"/>
  <c r="R82" i="1" s="1"/>
  <c r="I360" i="1"/>
  <c r="I261" i="1"/>
  <c r="U261" i="1" s="1"/>
  <c r="T392" i="1"/>
  <c r="T358" i="1"/>
  <c r="T421" i="1"/>
  <c r="I408" i="1"/>
  <c r="J408" i="1" s="1"/>
  <c r="U414" i="1"/>
  <c r="T414" i="1"/>
  <c r="T418" i="1"/>
  <c r="T192" i="1"/>
  <c r="T370" i="1"/>
  <c r="U370" i="1"/>
  <c r="T82" i="1"/>
  <c r="H192" i="1"/>
  <c r="R192" i="1" s="1"/>
  <c r="V414" i="1"/>
  <c r="T132" i="1"/>
  <c r="I192" i="1"/>
  <c r="T416" i="1"/>
  <c r="T128" i="1"/>
  <c r="I416" i="1"/>
  <c r="J416" i="1"/>
  <c r="M24" i="1" l="1"/>
  <c r="M12" i="1" s="1"/>
  <c r="K12" i="1"/>
  <c r="I128" i="1"/>
  <c r="U128" i="1" s="1"/>
  <c r="J422" i="1"/>
  <c r="J421" i="1" s="1"/>
  <c r="J413" i="1" s="1"/>
  <c r="I421" i="1"/>
  <c r="I413" i="1" s="1"/>
  <c r="V392" i="1"/>
  <c r="V418" i="1"/>
  <c r="I358" i="1"/>
  <c r="U358" i="1" s="1"/>
  <c r="J360" i="1"/>
  <c r="U82" i="1"/>
  <c r="U392" i="1"/>
  <c r="U192" i="1"/>
  <c r="V416" i="1"/>
  <c r="U416" i="1"/>
  <c r="T413" i="1"/>
  <c r="J127" i="2"/>
  <c r="G56" i="2"/>
  <c r="I56" i="2" s="1"/>
  <c r="J56" i="2" s="1"/>
  <c r="G166" i="2"/>
  <c r="G160" i="2"/>
  <c r="G159" i="2"/>
  <c r="H159" i="2" s="1"/>
  <c r="K158" i="2"/>
  <c r="F158" i="2"/>
  <c r="E158" i="2"/>
  <c r="D158" i="2"/>
  <c r="K154" i="2"/>
  <c r="J154" i="2"/>
  <c r="F154" i="2"/>
  <c r="E154" i="2"/>
  <c r="D154" i="2"/>
  <c r="G152" i="2"/>
  <c r="I152" i="2" s="1"/>
  <c r="G151" i="2"/>
  <c r="H150" i="2"/>
  <c r="F150" i="2"/>
  <c r="E150" i="2"/>
  <c r="D150" i="2"/>
  <c r="G148" i="2"/>
  <c r="I148" i="2" s="1"/>
  <c r="J148" i="2" s="1"/>
  <c r="K147" i="2"/>
  <c r="H147" i="2"/>
  <c r="F147" i="2"/>
  <c r="E147" i="2"/>
  <c r="D147" i="2"/>
  <c r="G144" i="2"/>
  <c r="I144" i="2" s="1"/>
  <c r="J144" i="2" s="1"/>
  <c r="G143" i="2"/>
  <c r="I143" i="2" s="1"/>
  <c r="J143" i="2" s="1"/>
  <c r="G142" i="2"/>
  <c r="I142" i="2" s="1"/>
  <c r="J142" i="2" s="1"/>
  <c r="K141" i="2"/>
  <c r="H141" i="2"/>
  <c r="F141" i="2"/>
  <c r="E141" i="2"/>
  <c r="D141" i="2"/>
  <c r="G139" i="2"/>
  <c r="I139" i="2" s="1"/>
  <c r="G138" i="2"/>
  <c r="I138" i="2" s="1"/>
  <c r="J138" i="2" s="1"/>
  <c r="H137" i="2"/>
  <c r="F137" i="2"/>
  <c r="E137" i="2"/>
  <c r="D137" i="2"/>
  <c r="G83" i="2"/>
  <c r="I83" i="2" s="1"/>
  <c r="J83" i="2" s="1"/>
  <c r="I135" i="2"/>
  <c r="G134" i="2"/>
  <c r="I134" i="2" s="1"/>
  <c r="H133" i="2"/>
  <c r="N134" i="2" s="1"/>
  <c r="F133" i="2"/>
  <c r="E133" i="2"/>
  <c r="D133" i="2"/>
  <c r="G131" i="2"/>
  <c r="I131" i="2" s="1"/>
  <c r="G130" i="2"/>
  <c r="I130" i="2" s="1"/>
  <c r="J130" i="2" s="1"/>
  <c r="H129" i="2"/>
  <c r="N130" i="2" s="1"/>
  <c r="F129" i="2"/>
  <c r="E129" i="2"/>
  <c r="D129" i="2"/>
  <c r="G126" i="2"/>
  <c r="I126" i="2" s="1"/>
  <c r="G125" i="2"/>
  <c r="I125" i="2" s="1"/>
  <c r="H124" i="2"/>
  <c r="F124" i="2"/>
  <c r="E124" i="2"/>
  <c r="D124" i="2"/>
  <c r="G120" i="2"/>
  <c r="G119" i="2"/>
  <c r="F118" i="2"/>
  <c r="E118" i="2"/>
  <c r="D118" i="2"/>
  <c r="G117" i="2"/>
  <c r="I117" i="2" s="1"/>
  <c r="G116" i="2"/>
  <c r="I116" i="2" s="1"/>
  <c r="J116" i="2" s="1"/>
  <c r="H115" i="2"/>
  <c r="F115" i="2"/>
  <c r="E115" i="2"/>
  <c r="D115" i="2"/>
  <c r="G112" i="2"/>
  <c r="I112" i="2" s="1"/>
  <c r="J112" i="2" s="1"/>
  <c r="G111" i="2"/>
  <c r="I111" i="2" s="1"/>
  <c r="J111" i="2" s="1"/>
  <c r="H110" i="2"/>
  <c r="N111" i="2" s="1"/>
  <c r="F110" i="2"/>
  <c r="E110" i="2"/>
  <c r="D110" i="2"/>
  <c r="G109" i="2"/>
  <c r="I109" i="2" s="1"/>
  <c r="J109" i="2" s="1"/>
  <c r="G108" i="2"/>
  <c r="I108" i="2" s="1"/>
  <c r="J108" i="2" s="1"/>
  <c r="K107" i="2"/>
  <c r="H107" i="2"/>
  <c r="F107" i="2"/>
  <c r="E107" i="2"/>
  <c r="D107" i="2"/>
  <c r="G104" i="2"/>
  <c r="G102" i="2"/>
  <c r="G101" i="2" s="1"/>
  <c r="G100" i="2"/>
  <c r="I100" i="2" s="1"/>
  <c r="G99" i="2"/>
  <c r="I99" i="2" s="1"/>
  <c r="F98" i="2"/>
  <c r="E98" i="2"/>
  <c r="D98" i="2"/>
  <c r="G96" i="2"/>
  <c r="I96" i="2" s="1"/>
  <c r="G95" i="2"/>
  <c r="I95" i="2" s="1"/>
  <c r="J95" i="2" s="1"/>
  <c r="H94" i="2"/>
  <c r="F94" i="2"/>
  <c r="E94" i="2"/>
  <c r="D94" i="2"/>
  <c r="G92" i="2"/>
  <c r="I92" i="2" s="1"/>
  <c r="J92" i="2" s="1"/>
  <c r="G91" i="2"/>
  <c r="K90" i="2"/>
  <c r="F90" i="2"/>
  <c r="E90" i="2"/>
  <c r="D90" i="2"/>
  <c r="G89" i="2"/>
  <c r="I89" i="2" s="1"/>
  <c r="K89" i="2" s="1"/>
  <c r="G88" i="2"/>
  <c r="H87" i="2"/>
  <c r="F87" i="2"/>
  <c r="E87" i="2"/>
  <c r="D87" i="2"/>
  <c r="G86" i="2"/>
  <c r="I86" i="2" s="1"/>
  <c r="K85" i="2"/>
  <c r="F85" i="2"/>
  <c r="E85" i="2"/>
  <c r="D85" i="2"/>
  <c r="K82" i="2"/>
  <c r="H82" i="2"/>
  <c r="F82" i="2"/>
  <c r="D82" i="2"/>
  <c r="G80" i="2"/>
  <c r="G79" i="2"/>
  <c r="K78" i="2"/>
  <c r="F78" i="2"/>
  <c r="E78" i="2"/>
  <c r="D78" i="2"/>
  <c r="G77" i="2"/>
  <c r="G76" i="2"/>
  <c r="I76" i="2" s="1"/>
  <c r="F75" i="2"/>
  <c r="E75" i="2"/>
  <c r="D75" i="2"/>
  <c r="G74" i="2"/>
  <c r="I74" i="2" s="1"/>
  <c r="G73" i="2"/>
  <c r="I73" i="2" s="1"/>
  <c r="K73" i="2" s="1"/>
  <c r="G72" i="2"/>
  <c r="F71" i="2"/>
  <c r="E71" i="2"/>
  <c r="D71" i="2"/>
  <c r="G70" i="2"/>
  <c r="I70" i="2" s="1"/>
  <c r="G69" i="2"/>
  <c r="I69" i="2" s="1"/>
  <c r="J69" i="2" s="1"/>
  <c r="H68" i="2"/>
  <c r="F68" i="2"/>
  <c r="E68" i="2"/>
  <c r="D68" i="2"/>
  <c r="G67" i="2"/>
  <c r="I67" i="2" s="1"/>
  <c r="K66" i="2"/>
  <c r="F66" i="2"/>
  <c r="E66" i="2"/>
  <c r="D66" i="2"/>
  <c r="G60" i="2"/>
  <c r="I60" i="2" s="1"/>
  <c r="J60" i="2" s="1"/>
  <c r="G59" i="2"/>
  <c r="I59" i="2" s="1"/>
  <c r="G58" i="2"/>
  <c r="I58" i="2" s="1"/>
  <c r="J58" i="2" s="1"/>
  <c r="H57" i="2"/>
  <c r="F57" i="2"/>
  <c r="E57" i="2"/>
  <c r="D57" i="2"/>
  <c r="G55" i="2"/>
  <c r="G54" i="2"/>
  <c r="I54" i="2" s="1"/>
  <c r="F53" i="2"/>
  <c r="E53" i="2"/>
  <c r="D53" i="2"/>
  <c r="G52" i="2"/>
  <c r="I52" i="2" s="1"/>
  <c r="J52" i="2" s="1"/>
  <c r="K51" i="2"/>
  <c r="H51" i="2"/>
  <c r="F51" i="2"/>
  <c r="E51" i="2"/>
  <c r="D51" i="2"/>
  <c r="G48" i="2"/>
  <c r="I48" i="2" s="1"/>
  <c r="G47" i="2"/>
  <c r="H45" i="2" s="1"/>
  <c r="N46" i="2" s="1"/>
  <c r="G46" i="2"/>
  <c r="I46" i="2" s="1"/>
  <c r="F45" i="2"/>
  <c r="E45" i="2"/>
  <c r="D45" i="2"/>
  <c r="G44" i="2"/>
  <c r="I44" i="2" s="1"/>
  <c r="G43" i="2"/>
  <c r="I43" i="2" s="1"/>
  <c r="J43" i="2" s="1"/>
  <c r="H42" i="2"/>
  <c r="F42" i="2"/>
  <c r="E42" i="2"/>
  <c r="D42" i="2"/>
  <c r="G40" i="2"/>
  <c r="G39" i="2"/>
  <c r="I39" i="2" s="1"/>
  <c r="K38" i="2"/>
  <c r="F38" i="2"/>
  <c r="E38" i="2"/>
  <c r="D38" i="2"/>
  <c r="G36" i="2"/>
  <c r="G35" i="2"/>
  <c r="I35" i="2" s="1"/>
  <c r="F34" i="2"/>
  <c r="E34" i="2"/>
  <c r="D34" i="2"/>
  <c r="G31" i="2"/>
  <c r="I31" i="2" s="1"/>
  <c r="K30" i="2"/>
  <c r="F30" i="2"/>
  <c r="E30" i="2"/>
  <c r="D30" i="2"/>
  <c r="G28" i="2"/>
  <c r="I28" i="2" s="1"/>
  <c r="K27" i="2"/>
  <c r="F27" i="2"/>
  <c r="E27" i="2"/>
  <c r="D27" i="2"/>
  <c r="G25" i="2"/>
  <c r="I25" i="2" s="1"/>
  <c r="K25" i="2" s="1"/>
  <c r="K23" i="2" s="1"/>
  <c r="G24" i="2"/>
  <c r="I24" i="2" s="1"/>
  <c r="J24" i="2" s="1"/>
  <c r="F23" i="2"/>
  <c r="E23" i="2"/>
  <c r="D23" i="2"/>
  <c r="G21" i="2"/>
  <c r="I21" i="2" s="1"/>
  <c r="J21" i="2" s="1"/>
  <c r="G20" i="2"/>
  <c r="I20" i="2" s="1"/>
  <c r="J20" i="2" s="1"/>
  <c r="K19" i="2"/>
  <c r="H19" i="2"/>
  <c r="F19" i="2"/>
  <c r="E19" i="2"/>
  <c r="D19" i="2"/>
  <c r="G16" i="2"/>
  <c r="I16" i="2" s="1"/>
  <c r="G17" i="2"/>
  <c r="I17" i="2" s="1"/>
  <c r="G11" i="2"/>
  <c r="I11" i="2" s="1"/>
  <c r="G10" i="2"/>
  <c r="G7" i="2"/>
  <c r="I7" i="2" s="1"/>
  <c r="K7" i="2" s="1"/>
  <c r="G6" i="2"/>
  <c r="I6" i="2" s="1"/>
  <c r="E15" i="2"/>
  <c r="F15" i="2"/>
  <c r="D15" i="2"/>
  <c r="E9" i="2"/>
  <c r="F9" i="2"/>
  <c r="D9" i="2"/>
  <c r="E5" i="2"/>
  <c r="F5" i="2"/>
  <c r="D5" i="2"/>
  <c r="V421" i="1" l="1"/>
  <c r="U421" i="1"/>
  <c r="J44" i="2"/>
  <c r="J42" i="2" s="1"/>
  <c r="K44" i="2"/>
  <c r="K42" i="2" s="1"/>
  <c r="K131" i="2"/>
  <c r="K129" i="2" s="1"/>
  <c r="K96" i="2"/>
  <c r="K94" i="2" s="1"/>
  <c r="J152" i="2"/>
  <c r="K152" i="2"/>
  <c r="K150" i="2" s="1"/>
  <c r="K70" i="2"/>
  <c r="K68" i="2" s="1"/>
  <c r="K117" i="2"/>
  <c r="K115" i="2" s="1"/>
  <c r="K11" i="2"/>
  <c r="K9" i="2" s="1"/>
  <c r="K17" i="2"/>
  <c r="K15" i="2" s="1"/>
  <c r="K100" i="2"/>
  <c r="J100" i="2" s="1"/>
  <c r="K59" i="2"/>
  <c r="K57" i="2" s="1"/>
  <c r="K135" i="2"/>
  <c r="K133" i="2" s="1"/>
  <c r="K139" i="2"/>
  <c r="K137" i="2" s="1"/>
  <c r="K71" i="2"/>
  <c r="J48" i="2"/>
  <c r="K48" i="2"/>
  <c r="K126" i="2"/>
  <c r="K124" i="2" s="1"/>
  <c r="V413" i="1"/>
  <c r="I10" i="2"/>
  <c r="J10" i="2" s="1"/>
  <c r="G9" i="2"/>
  <c r="F4" i="2"/>
  <c r="D4" i="2"/>
  <c r="I166" i="2"/>
  <c r="I163" i="2" s="1"/>
  <c r="Q163" i="2" s="1"/>
  <c r="G163" i="2"/>
  <c r="U413" i="1"/>
  <c r="H160" i="2"/>
  <c r="H158" i="2" s="1"/>
  <c r="N159" i="2" s="1"/>
  <c r="H79" i="2"/>
  <c r="H80" i="2"/>
  <c r="I104" i="2"/>
  <c r="G103" i="2"/>
  <c r="J147" i="2"/>
  <c r="J107" i="2"/>
  <c r="J39" i="2"/>
  <c r="J46" i="2"/>
  <c r="J51" i="2"/>
  <c r="J134" i="2"/>
  <c r="J35" i="2"/>
  <c r="J19" i="2"/>
  <c r="J16" i="2"/>
  <c r="J25" i="2"/>
  <c r="J28" i="2"/>
  <c r="J7" i="2"/>
  <c r="K5" i="2"/>
  <c r="J6" i="2"/>
  <c r="J73" i="2"/>
  <c r="J31" i="2"/>
  <c r="J54" i="2"/>
  <c r="J99" i="2"/>
  <c r="J86" i="2"/>
  <c r="J76" i="2"/>
  <c r="J67" i="2"/>
  <c r="N151" i="2"/>
  <c r="N148" i="2"/>
  <c r="J141" i="2"/>
  <c r="N142" i="2"/>
  <c r="N138" i="2"/>
  <c r="J125" i="2"/>
  <c r="H118" i="2"/>
  <c r="N119" i="2" s="1"/>
  <c r="N116" i="2"/>
  <c r="K110" i="2"/>
  <c r="J110" i="2"/>
  <c r="N108" i="2"/>
  <c r="N104" i="2"/>
  <c r="N102" i="2"/>
  <c r="H98" i="2"/>
  <c r="N99" i="2" s="1"/>
  <c r="N95" i="2"/>
  <c r="H90" i="2"/>
  <c r="N91" i="2" s="1"/>
  <c r="N88" i="2"/>
  <c r="H85" i="2"/>
  <c r="N86" i="2" s="1"/>
  <c r="J82" i="2"/>
  <c r="I77" i="2"/>
  <c r="H71" i="2"/>
  <c r="N72" i="2" s="1"/>
  <c r="H53" i="2"/>
  <c r="N54" i="2" s="1"/>
  <c r="I40" i="2"/>
  <c r="J40" i="2" s="1"/>
  <c r="I36" i="2"/>
  <c r="H34" i="2"/>
  <c r="N35" i="2" s="1"/>
  <c r="H27" i="2"/>
  <c r="N28" i="2" s="1"/>
  <c r="H23" i="2"/>
  <c r="N24" i="2" s="1"/>
  <c r="H9" i="2"/>
  <c r="N10" i="2" s="1"/>
  <c r="H5" i="2"/>
  <c r="N83" i="2"/>
  <c r="N125" i="2"/>
  <c r="N69" i="2"/>
  <c r="N58" i="2"/>
  <c r="N52" i="2"/>
  <c r="N43" i="2"/>
  <c r="N20" i="2"/>
  <c r="I154" i="2"/>
  <c r="Q154" i="2" s="1"/>
  <c r="G154" i="2"/>
  <c r="G158" i="2"/>
  <c r="I159" i="2"/>
  <c r="G150" i="2"/>
  <c r="I141" i="2"/>
  <c r="G147" i="2"/>
  <c r="G137" i="2"/>
  <c r="I151" i="2"/>
  <c r="I147" i="2"/>
  <c r="G141" i="2"/>
  <c r="I137" i="2"/>
  <c r="E82" i="2"/>
  <c r="E4" i="2" s="1"/>
  <c r="G118" i="2"/>
  <c r="G66" i="2"/>
  <c r="G90" i="2"/>
  <c r="I133" i="2"/>
  <c r="G124" i="2"/>
  <c r="G87" i="2"/>
  <c r="I115" i="2"/>
  <c r="G71" i="2"/>
  <c r="G110" i="2"/>
  <c r="G85" i="2"/>
  <c r="I107" i="2"/>
  <c r="G133" i="2"/>
  <c r="I129" i="2"/>
  <c r="G129" i="2"/>
  <c r="I124" i="2"/>
  <c r="I119" i="2"/>
  <c r="J119" i="2" s="1"/>
  <c r="G115" i="2"/>
  <c r="I110" i="2"/>
  <c r="G107" i="2"/>
  <c r="I102" i="2"/>
  <c r="I101" i="2" s="1"/>
  <c r="G98" i="2"/>
  <c r="I94" i="2"/>
  <c r="G94" i="2"/>
  <c r="I91" i="2"/>
  <c r="J91" i="2" s="1"/>
  <c r="I88" i="2"/>
  <c r="I82" i="2"/>
  <c r="G82" i="2"/>
  <c r="G78" i="2"/>
  <c r="G75" i="2"/>
  <c r="I72" i="2"/>
  <c r="J72" i="2" s="1"/>
  <c r="I68" i="2"/>
  <c r="G68" i="2"/>
  <c r="G45" i="2"/>
  <c r="G27" i="2"/>
  <c r="G38" i="2"/>
  <c r="I47" i="2"/>
  <c r="G30" i="2"/>
  <c r="G34" i="2"/>
  <c r="I42" i="2"/>
  <c r="G51" i="2"/>
  <c r="G53" i="2"/>
  <c r="I57" i="2"/>
  <c r="I51" i="2"/>
  <c r="G57" i="2"/>
  <c r="G42" i="2"/>
  <c r="G23" i="2"/>
  <c r="G19" i="2"/>
  <c r="I19" i="2"/>
  <c r="G5" i="2"/>
  <c r="G15" i="2"/>
  <c r="G347" i="1"/>
  <c r="H347" i="1" s="1"/>
  <c r="G346" i="1"/>
  <c r="H346" i="1" s="1"/>
  <c r="E345" i="1"/>
  <c r="F345" i="1"/>
  <c r="D345" i="1"/>
  <c r="G353" i="1"/>
  <c r="G352" i="1" s="1"/>
  <c r="E352" i="1"/>
  <c r="F352" i="1"/>
  <c r="H352" i="1"/>
  <c r="D352" i="1"/>
  <c r="G322" i="1"/>
  <c r="I322" i="1" s="1"/>
  <c r="J322" i="1" s="1"/>
  <c r="G323" i="1"/>
  <c r="I323" i="1" s="1"/>
  <c r="J323" i="1" s="1"/>
  <c r="G324" i="1"/>
  <c r="I324" i="1" s="1"/>
  <c r="J324" i="1" s="1"/>
  <c r="G325" i="1"/>
  <c r="G326" i="1"/>
  <c r="G327" i="1"/>
  <c r="G328" i="1"/>
  <c r="G329" i="1"/>
  <c r="I329" i="1" s="1"/>
  <c r="K329" i="1" s="1"/>
  <c r="P329" i="1" s="1"/>
  <c r="G330" i="1"/>
  <c r="I330" i="1" s="1"/>
  <c r="K330" i="1" s="1"/>
  <c r="P330" i="1" s="1"/>
  <c r="G331" i="1"/>
  <c r="G321" i="1"/>
  <c r="F320" i="1"/>
  <c r="F311" i="1" s="1"/>
  <c r="F302" i="1" s="1"/>
  <c r="D320" i="1"/>
  <c r="G50" i="1"/>
  <c r="I50" i="1" s="1"/>
  <c r="J50" i="1" s="1"/>
  <c r="G51" i="1"/>
  <c r="I51" i="1" s="1"/>
  <c r="J51" i="1" s="1"/>
  <c r="G49" i="1"/>
  <c r="I49" i="1" s="1"/>
  <c r="E48" i="1"/>
  <c r="F48" i="1"/>
  <c r="H48" i="1"/>
  <c r="R48" i="1" s="1"/>
  <c r="D48" i="1"/>
  <c r="G166" i="1"/>
  <c r="G167" i="1"/>
  <c r="G168" i="1"/>
  <c r="G169" i="1"/>
  <c r="G170" i="1"/>
  <c r="G165" i="1"/>
  <c r="I165" i="1" s="1"/>
  <c r="E164" i="1"/>
  <c r="F164" i="1"/>
  <c r="D164" i="1"/>
  <c r="I120" i="1"/>
  <c r="G100" i="1"/>
  <c r="I100" i="1" s="1"/>
  <c r="J100" i="1" s="1"/>
  <c r="G101" i="1"/>
  <c r="G102" i="1"/>
  <c r="G103" i="1"/>
  <c r="G104" i="1"/>
  <c r="G106" i="1"/>
  <c r="I106" i="1" s="1"/>
  <c r="J106" i="1" s="1"/>
  <c r="G107" i="1"/>
  <c r="I107" i="1" s="1"/>
  <c r="J107" i="1" s="1"/>
  <c r="G108" i="1"/>
  <c r="I108" i="1" s="1"/>
  <c r="J108" i="1" s="1"/>
  <c r="G109" i="1"/>
  <c r="I109" i="1" s="1"/>
  <c r="G110" i="1"/>
  <c r="G111" i="1"/>
  <c r="G99" i="1"/>
  <c r="D98" i="1"/>
  <c r="E98" i="1"/>
  <c r="F98" i="1"/>
  <c r="J109" i="1" l="1"/>
  <c r="K109" i="1"/>
  <c r="M109" i="1" s="1"/>
  <c r="K98" i="2"/>
  <c r="I103" i="1"/>
  <c r="J103" i="1" s="1"/>
  <c r="H103" i="1"/>
  <c r="H111" i="1"/>
  <c r="I111" i="1" s="1"/>
  <c r="J111" i="1" s="1"/>
  <c r="I102" i="1"/>
  <c r="J102" i="1" s="1"/>
  <c r="H102" i="1"/>
  <c r="I80" i="2"/>
  <c r="H307" i="1"/>
  <c r="I307" i="1" s="1"/>
  <c r="K45" i="2"/>
  <c r="K308" i="1"/>
  <c r="J17" i="2"/>
  <c r="J70" i="2"/>
  <c r="J68" i="2" s="1"/>
  <c r="I110" i="1"/>
  <c r="J110" i="1" s="1"/>
  <c r="H110" i="1"/>
  <c r="H101" i="1"/>
  <c r="I101" i="1" s="1"/>
  <c r="J101" i="1" s="1"/>
  <c r="I79" i="2"/>
  <c r="J79" i="2" s="1"/>
  <c r="H304" i="1"/>
  <c r="H303" i="1" s="1"/>
  <c r="H169" i="1"/>
  <c r="I169" i="1" s="1"/>
  <c r="J169" i="1" s="1"/>
  <c r="K49" i="1"/>
  <c r="M49" i="1" s="1"/>
  <c r="M48" i="1" s="1"/>
  <c r="H167" i="1"/>
  <c r="I167" i="1" s="1"/>
  <c r="J167" i="1" s="1"/>
  <c r="H166" i="1"/>
  <c r="I166" i="1" s="1"/>
  <c r="J166" i="1" s="1"/>
  <c r="H326" i="1"/>
  <c r="I326" i="1" s="1"/>
  <c r="J326" i="1" s="1"/>
  <c r="H321" i="1"/>
  <c r="I321" i="1" s="1"/>
  <c r="J321" i="1" s="1"/>
  <c r="I346" i="1"/>
  <c r="G345" i="1"/>
  <c r="H170" i="1"/>
  <c r="K36" i="2"/>
  <c r="K34" i="2" s="1"/>
  <c r="J135" i="2"/>
  <c r="J11" i="2"/>
  <c r="J96" i="2"/>
  <c r="J94" i="2" s="1"/>
  <c r="Q94" i="2" s="1"/>
  <c r="J126" i="2"/>
  <c r="J124" i="2" s="1"/>
  <c r="Q124" i="2" s="1"/>
  <c r="J59" i="2"/>
  <c r="J57" i="2" s="1"/>
  <c r="J117" i="2"/>
  <c r="J115" i="2" s="1"/>
  <c r="J131" i="2"/>
  <c r="J129" i="2" s="1"/>
  <c r="Q129" i="2" s="1"/>
  <c r="J133" i="2"/>
  <c r="Q133" i="2" s="1"/>
  <c r="J74" i="2"/>
  <c r="J139" i="2"/>
  <c r="K77" i="2"/>
  <c r="K75" i="2" s="1"/>
  <c r="G4" i="2"/>
  <c r="G168" i="2" s="1"/>
  <c r="O163" i="2"/>
  <c r="M164" i="2"/>
  <c r="P163" i="2"/>
  <c r="I160" i="2"/>
  <c r="J160" i="2" s="1"/>
  <c r="J80" i="2"/>
  <c r="H78" i="2"/>
  <c r="N79" i="2" s="1"/>
  <c r="J104" i="2"/>
  <c r="J103" i="2" s="1"/>
  <c r="I103" i="2"/>
  <c r="H104" i="1"/>
  <c r="I104" i="1" s="1"/>
  <c r="J104" i="1" s="1"/>
  <c r="Q42" i="2"/>
  <c r="Q57" i="2"/>
  <c r="P147" i="2"/>
  <c r="N6" i="2"/>
  <c r="J5" i="2"/>
  <c r="Q51" i="2"/>
  <c r="Q82" i="2"/>
  <c r="P137" i="2"/>
  <c r="Q19" i="2"/>
  <c r="Q115" i="2"/>
  <c r="I5" i="2"/>
  <c r="Q110" i="2"/>
  <c r="I85" i="2"/>
  <c r="P85" i="2" s="1"/>
  <c r="J85" i="2"/>
  <c r="I45" i="2"/>
  <c r="P45" i="2" s="1"/>
  <c r="J47" i="2"/>
  <c r="J45" i="2" s="1"/>
  <c r="P94" i="2"/>
  <c r="Q68" i="2"/>
  <c r="M159" i="2"/>
  <c r="O158" i="2"/>
  <c r="J159" i="2"/>
  <c r="M155" i="2"/>
  <c r="P154" i="2"/>
  <c r="O154" i="2"/>
  <c r="M151" i="2"/>
  <c r="O150" i="2"/>
  <c r="I150" i="2"/>
  <c r="P150" i="2" s="1"/>
  <c r="J151" i="2"/>
  <c r="J150" i="2" s="1"/>
  <c r="M148" i="2"/>
  <c r="O147" i="2"/>
  <c r="Q147" i="2"/>
  <c r="M142" i="2"/>
  <c r="O141" i="2"/>
  <c r="P141" i="2"/>
  <c r="Q141" i="2"/>
  <c r="M138" i="2"/>
  <c r="O137" i="2"/>
  <c r="M130" i="2"/>
  <c r="O129" i="2"/>
  <c r="M125" i="2"/>
  <c r="O124" i="2"/>
  <c r="P124" i="2"/>
  <c r="M119" i="2"/>
  <c r="O118" i="2"/>
  <c r="I120" i="2"/>
  <c r="K120" i="2" s="1"/>
  <c r="M116" i="2"/>
  <c r="O115" i="2"/>
  <c r="P115" i="2"/>
  <c r="M111" i="2"/>
  <c r="P110" i="2"/>
  <c r="O110" i="2"/>
  <c r="M108" i="2"/>
  <c r="O107" i="2"/>
  <c r="P107" i="2"/>
  <c r="Q107" i="2"/>
  <c r="M104" i="2"/>
  <c r="O103" i="2"/>
  <c r="M102" i="2"/>
  <c r="O101" i="2"/>
  <c r="P101" i="2"/>
  <c r="J102" i="2"/>
  <c r="J101" i="2" s="1"/>
  <c r="M99" i="2"/>
  <c r="O98" i="2"/>
  <c r="M95" i="2"/>
  <c r="O94" i="2"/>
  <c r="M91" i="2"/>
  <c r="O90" i="2"/>
  <c r="M88" i="2"/>
  <c r="O87" i="2"/>
  <c r="I87" i="2"/>
  <c r="J88" i="2"/>
  <c r="M86" i="2"/>
  <c r="O85" i="2"/>
  <c r="M83" i="2"/>
  <c r="O82" i="2"/>
  <c r="P82" i="2"/>
  <c r="M79" i="2"/>
  <c r="O78" i="2"/>
  <c r="I75" i="2"/>
  <c r="M76" i="2"/>
  <c r="O75" i="2"/>
  <c r="H75" i="2"/>
  <c r="N76" i="2" s="1"/>
  <c r="M72" i="2"/>
  <c r="O71" i="2"/>
  <c r="M69" i="2"/>
  <c r="O68" i="2"/>
  <c r="M67" i="2"/>
  <c r="O66" i="2"/>
  <c r="H66" i="2"/>
  <c r="M58" i="2"/>
  <c r="O57" i="2"/>
  <c r="M54" i="2"/>
  <c r="O53" i="2"/>
  <c r="I55" i="2"/>
  <c r="K55" i="2" s="1"/>
  <c r="K53" i="2" s="1"/>
  <c r="M52" i="2"/>
  <c r="O51" i="2"/>
  <c r="M46" i="2"/>
  <c r="O45" i="2"/>
  <c r="M43" i="2"/>
  <c r="O42" i="2"/>
  <c r="P42" i="2"/>
  <c r="M39" i="2"/>
  <c r="O38" i="2"/>
  <c r="H38" i="2"/>
  <c r="N39" i="2" s="1"/>
  <c r="M35" i="2"/>
  <c r="O34" i="2"/>
  <c r="M31" i="2"/>
  <c r="O30" i="2"/>
  <c r="H30" i="2"/>
  <c r="N31" i="2" s="1"/>
  <c r="M28" i="2"/>
  <c r="O27" i="2"/>
  <c r="M24" i="2"/>
  <c r="O23" i="2"/>
  <c r="M20" i="2"/>
  <c r="O19" i="2"/>
  <c r="P19" i="2"/>
  <c r="H15" i="2"/>
  <c r="N16" i="2" s="1"/>
  <c r="M16" i="2"/>
  <c r="O15" i="2"/>
  <c r="M10" i="2"/>
  <c r="O9" i="2"/>
  <c r="M6" i="2"/>
  <c r="O5" i="2"/>
  <c r="I325" i="1"/>
  <c r="J325" i="1" s="1"/>
  <c r="I328" i="1"/>
  <c r="I327" i="1"/>
  <c r="I331" i="1"/>
  <c r="J330" i="1"/>
  <c r="J329" i="1"/>
  <c r="O164" i="1"/>
  <c r="O10" i="1" s="1"/>
  <c r="I119" i="1"/>
  <c r="U119" i="1" s="1"/>
  <c r="J120" i="1"/>
  <c r="I99" i="1"/>
  <c r="J99" i="1" s="1"/>
  <c r="P68" i="2"/>
  <c r="P57" i="2"/>
  <c r="P51" i="2"/>
  <c r="P129" i="2"/>
  <c r="F301" i="1"/>
  <c r="H345" i="1"/>
  <c r="T352" i="1"/>
  <c r="M134" i="2"/>
  <c r="P133" i="2"/>
  <c r="O133" i="2"/>
  <c r="F10" i="1"/>
  <c r="I347" i="1"/>
  <c r="J347" i="1" s="1"/>
  <c r="I353" i="1"/>
  <c r="J353" i="1" s="1"/>
  <c r="G164" i="1"/>
  <c r="I168" i="1"/>
  <c r="J168" i="1" s="1"/>
  <c r="I48" i="1"/>
  <c r="G48" i="1"/>
  <c r="K118" i="2" l="1"/>
  <c r="K306" i="1"/>
  <c r="I78" i="2"/>
  <c r="J307" i="1"/>
  <c r="J78" i="2"/>
  <c r="K307" i="1"/>
  <c r="N307" i="1" s="1"/>
  <c r="N308" i="1"/>
  <c r="J308" i="1"/>
  <c r="H164" i="1"/>
  <c r="R164" i="1" s="1"/>
  <c r="J49" i="1"/>
  <c r="K48" i="1"/>
  <c r="T345" i="1"/>
  <c r="M7" i="1"/>
  <c r="K327" i="1"/>
  <c r="K328" i="1"/>
  <c r="K331" i="1"/>
  <c r="I170" i="1"/>
  <c r="J170" i="1" s="1"/>
  <c r="J77" i="2"/>
  <c r="J75" i="2" s="1"/>
  <c r="Q75" i="2" s="1"/>
  <c r="J36" i="2"/>
  <c r="J137" i="2"/>
  <c r="Q137" i="2" s="1"/>
  <c r="J158" i="2"/>
  <c r="Q78" i="2"/>
  <c r="I158" i="2"/>
  <c r="P158" i="2" s="1"/>
  <c r="P78" i="2"/>
  <c r="H4" i="2"/>
  <c r="H168" i="2" s="1"/>
  <c r="Q101" i="2"/>
  <c r="Q5" i="2"/>
  <c r="P5" i="2"/>
  <c r="Q85" i="2"/>
  <c r="Q103" i="2"/>
  <c r="I9" i="2"/>
  <c r="P9" i="2" s="1"/>
  <c r="J9" i="2"/>
  <c r="I30" i="2"/>
  <c r="P30" i="2" s="1"/>
  <c r="J30" i="2"/>
  <c r="I71" i="2"/>
  <c r="P71" i="2" s="1"/>
  <c r="J71" i="2"/>
  <c r="I38" i="2"/>
  <c r="P38" i="2" s="1"/>
  <c r="J38" i="2"/>
  <c r="I118" i="2"/>
  <c r="P118" i="2" s="1"/>
  <c r="J120" i="2"/>
  <c r="J118" i="2" s="1"/>
  <c r="I23" i="2"/>
  <c r="P23" i="2" s="1"/>
  <c r="J23" i="2"/>
  <c r="I66" i="2"/>
  <c r="P66" i="2" s="1"/>
  <c r="J66" i="2"/>
  <c r="Q45" i="2"/>
  <c r="I53" i="2"/>
  <c r="J55" i="2"/>
  <c r="J53" i="2" s="1"/>
  <c r="I34" i="2"/>
  <c r="J34" i="2"/>
  <c r="I98" i="2"/>
  <c r="P98" i="2" s="1"/>
  <c r="J98" i="2"/>
  <c r="P103" i="2"/>
  <c r="Q150" i="2"/>
  <c r="I15" i="2"/>
  <c r="J15" i="2"/>
  <c r="I27" i="2"/>
  <c r="J27" i="2"/>
  <c r="I90" i="2"/>
  <c r="P90" i="2" s="1"/>
  <c r="J90" i="2"/>
  <c r="P87" i="2"/>
  <c r="P75" i="2"/>
  <c r="N67" i="2"/>
  <c r="H98" i="1"/>
  <c r="R98" i="1" s="1"/>
  <c r="K98" i="1"/>
  <c r="M98" i="1"/>
  <c r="T164" i="1"/>
  <c r="U48" i="1"/>
  <c r="T48" i="1"/>
  <c r="F9" i="1"/>
  <c r="O4" i="2"/>
  <c r="I352" i="1"/>
  <c r="U352" i="1" s="1"/>
  <c r="G98" i="1"/>
  <c r="E391" i="1"/>
  <c r="D388" i="1"/>
  <c r="D369" i="1" s="1"/>
  <c r="G386" i="1"/>
  <c r="I386" i="1" s="1"/>
  <c r="J386" i="1" s="1"/>
  <c r="R345" i="1"/>
  <c r="J299" i="1"/>
  <c r="V299" i="1" s="1"/>
  <c r="R299" i="1"/>
  <c r="D299" i="1"/>
  <c r="J132" i="1"/>
  <c r="V132" i="1" s="1"/>
  <c r="D119" i="1"/>
  <c r="T119" i="1" s="1"/>
  <c r="D35" i="1"/>
  <c r="K303" i="1" l="1"/>
  <c r="J306" i="1"/>
  <c r="N306" i="1"/>
  <c r="N303" i="1" s="1"/>
  <c r="K320" i="1"/>
  <c r="P331" i="1"/>
  <c r="J328" i="1"/>
  <c r="P328" i="1"/>
  <c r="J327" i="1"/>
  <c r="P327" i="1"/>
  <c r="J331" i="1"/>
  <c r="I164" i="1"/>
  <c r="U164" i="1" s="1"/>
  <c r="Q158" i="2"/>
  <c r="I4" i="2"/>
  <c r="Q118" i="2"/>
  <c r="Q71" i="2"/>
  <c r="Q90" i="2"/>
  <c r="Q15" i="2"/>
  <c r="Q34" i="2"/>
  <c r="Q23" i="2"/>
  <c r="Q27" i="2"/>
  <c r="Q53" i="2"/>
  <c r="Q30" i="2"/>
  <c r="P15" i="2"/>
  <c r="P27" i="2"/>
  <c r="P34" i="2"/>
  <c r="Q9" i="2"/>
  <c r="P53" i="2"/>
  <c r="Q98" i="2"/>
  <c r="Q66" i="2"/>
  <c r="Q38" i="2"/>
  <c r="I345" i="1"/>
  <c r="U345" i="1" s="1"/>
  <c r="I98" i="1"/>
  <c r="U98" i="1" s="1"/>
  <c r="R307" i="1"/>
  <c r="G304" i="1"/>
  <c r="G303" i="1" s="1"/>
  <c r="T98" i="1"/>
  <c r="D201" i="1"/>
  <c r="T299" i="1"/>
  <c r="E388" i="1"/>
  <c r="G389" i="1"/>
  <c r="G388" i="1" s="1"/>
  <c r="G318" i="1"/>
  <c r="E317" i="1"/>
  <c r="G316" i="1"/>
  <c r="J280" i="1"/>
  <c r="V280" i="1" s="1"/>
  <c r="E382" i="1"/>
  <c r="G383" i="1"/>
  <c r="G405" i="1"/>
  <c r="J192" i="1"/>
  <c r="V192" i="1" s="1"/>
  <c r="E147" i="1"/>
  <c r="G149" i="1"/>
  <c r="J370" i="1"/>
  <c r="V370" i="1" s="1"/>
  <c r="G179" i="1"/>
  <c r="E178" i="1"/>
  <c r="J119" i="1"/>
  <c r="V119" i="1" s="1"/>
  <c r="J128" i="1"/>
  <c r="V128" i="1" s="1"/>
  <c r="E60" i="1"/>
  <c r="G385" i="1"/>
  <c r="M384" i="1" s="1"/>
  <c r="E384" i="1"/>
  <c r="J35" i="1"/>
  <c r="G252" i="1"/>
  <c r="I252" i="1" s="1"/>
  <c r="E240" i="1"/>
  <c r="G224" i="1"/>
  <c r="E223" i="1"/>
  <c r="G19" i="1"/>
  <c r="G12" i="1" s="1"/>
  <c r="E11" i="1"/>
  <c r="E202" i="1"/>
  <c r="G209" i="1"/>
  <c r="J48" i="1"/>
  <c r="V48" i="1" s="1"/>
  <c r="J98" i="1"/>
  <c r="E320" i="1"/>
  <c r="D311" i="1"/>
  <c r="D302" i="1" s="1"/>
  <c r="D301" i="1" s="1"/>
  <c r="D391" i="1"/>
  <c r="D11" i="1"/>
  <c r="D10" i="1" s="1"/>
  <c r="G402" i="1" l="1"/>
  <c r="H405" i="1"/>
  <c r="H402" i="1" s="1"/>
  <c r="H391" i="1" s="1"/>
  <c r="P320" i="1"/>
  <c r="P301" i="1" s="1"/>
  <c r="P9" i="1" s="1"/>
  <c r="H8" i="7" s="1"/>
  <c r="H15" i="7" s="1"/>
  <c r="H209" i="1"/>
  <c r="H202" i="1" s="1"/>
  <c r="H316" i="1"/>
  <c r="H312" i="1" s="1"/>
  <c r="R312" i="1" s="1"/>
  <c r="G312" i="1"/>
  <c r="E311" i="1"/>
  <c r="R311" i="1" s="1"/>
  <c r="P4" i="2"/>
  <c r="I168" i="2"/>
  <c r="H19" i="1"/>
  <c r="V98" i="1"/>
  <c r="I304" i="1"/>
  <c r="T303" i="1"/>
  <c r="D9" i="1"/>
  <c r="E201" i="1"/>
  <c r="G391" i="1"/>
  <c r="T388" i="1"/>
  <c r="H320" i="1"/>
  <c r="R320" i="1" s="1"/>
  <c r="E369" i="1"/>
  <c r="R369" i="1" s="1"/>
  <c r="E10" i="1"/>
  <c r="I389" i="1"/>
  <c r="J389" i="1" s="1"/>
  <c r="K384" i="1"/>
  <c r="G382" i="1"/>
  <c r="M382" i="1"/>
  <c r="I318" i="1"/>
  <c r="J318" i="1" s="1"/>
  <c r="G317" i="1"/>
  <c r="I383" i="1"/>
  <c r="J383" i="1" s="1"/>
  <c r="I405" i="1"/>
  <c r="I149" i="1"/>
  <c r="J149" i="1" s="1"/>
  <c r="G147" i="1"/>
  <c r="I179" i="1"/>
  <c r="J179" i="1" s="1"/>
  <c r="G178" i="1"/>
  <c r="G60" i="1"/>
  <c r="I385" i="1"/>
  <c r="J385" i="1" s="1"/>
  <c r="G384" i="1"/>
  <c r="I224" i="1"/>
  <c r="G223" i="1"/>
  <c r="G240" i="1"/>
  <c r="G11" i="1"/>
  <c r="G202" i="1"/>
  <c r="G320" i="1"/>
  <c r="I316" i="1" l="1"/>
  <c r="I312" i="1" s="1"/>
  <c r="R202" i="1"/>
  <c r="H201" i="1"/>
  <c r="I209" i="1"/>
  <c r="H311" i="1"/>
  <c r="H302" i="1" s="1"/>
  <c r="H301" i="1" s="1"/>
  <c r="J405" i="1"/>
  <c r="J402" i="1" s="1"/>
  <c r="J391" i="1" s="1"/>
  <c r="I402" i="1"/>
  <c r="U402" i="1" s="1"/>
  <c r="H12" i="1"/>
  <c r="H11" i="1" s="1"/>
  <c r="I19" i="1"/>
  <c r="J304" i="1"/>
  <c r="J303" i="1" s="1"/>
  <c r="I303" i="1"/>
  <c r="I223" i="1"/>
  <c r="U223" i="1" s="1"/>
  <c r="J224" i="1"/>
  <c r="J223" i="1" s="1"/>
  <c r="N311" i="1"/>
  <c r="N302" i="1" s="1"/>
  <c r="N301" i="1" s="1"/>
  <c r="K388" i="1"/>
  <c r="I60" i="1"/>
  <c r="U60" i="1" s="1"/>
  <c r="J60" i="1"/>
  <c r="T320" i="1"/>
  <c r="T223" i="1"/>
  <c r="T391" i="1"/>
  <c r="G201" i="1"/>
  <c r="T202" i="1"/>
  <c r="G10" i="1"/>
  <c r="T11" i="1"/>
  <c r="T60" i="1"/>
  <c r="T317" i="1"/>
  <c r="T312" i="1"/>
  <c r="T147" i="1"/>
  <c r="T240" i="1"/>
  <c r="T178" i="1"/>
  <c r="T402" i="1"/>
  <c r="E302" i="1"/>
  <c r="T382" i="1"/>
  <c r="T384" i="1"/>
  <c r="G369" i="1"/>
  <c r="I320" i="1"/>
  <c r="I240" i="1"/>
  <c r="U240" i="1" s="1"/>
  <c r="J252" i="1"/>
  <c r="J240" i="1" s="1"/>
  <c r="I317" i="1"/>
  <c r="U317" i="1" s="1"/>
  <c r="J317" i="1"/>
  <c r="I147" i="1"/>
  <c r="I388" i="1"/>
  <c r="I384" i="1"/>
  <c r="U384" i="1" s="1"/>
  <c r="J384" i="1"/>
  <c r="I382" i="1"/>
  <c r="K382" i="1"/>
  <c r="I178" i="1"/>
  <c r="U178" i="1" s="1"/>
  <c r="J178" i="1"/>
  <c r="G311" i="1"/>
  <c r="J316" i="1" l="1"/>
  <c r="J312" i="1" s="1"/>
  <c r="H10" i="1"/>
  <c r="H9" i="1" s="1"/>
  <c r="R11" i="1"/>
  <c r="J209" i="1"/>
  <c r="J202" i="1" s="1"/>
  <c r="I202" i="1"/>
  <c r="I201" i="1" s="1"/>
  <c r="I311" i="1"/>
  <c r="U311" i="1" s="1"/>
  <c r="N9" i="1"/>
  <c r="G8" i="7" s="1"/>
  <c r="G15" i="7" s="1"/>
  <c r="J19" i="1"/>
  <c r="I12" i="1"/>
  <c r="I11" i="1" s="1"/>
  <c r="U11" i="1" s="1"/>
  <c r="V223" i="1"/>
  <c r="K369" i="1"/>
  <c r="K60" i="1"/>
  <c r="M60" i="1"/>
  <c r="K240" i="1"/>
  <c r="M240" i="1"/>
  <c r="M201" i="1" s="1"/>
  <c r="M388" i="1"/>
  <c r="M369" i="1" s="1"/>
  <c r="J320" i="1"/>
  <c r="V320" i="1" s="1"/>
  <c r="J147" i="1"/>
  <c r="V147" i="1" s="1"/>
  <c r="U303" i="1"/>
  <c r="T201" i="1"/>
  <c r="U312" i="1"/>
  <c r="T10" i="1"/>
  <c r="I391" i="1"/>
  <c r="V402" i="1"/>
  <c r="V317" i="1"/>
  <c r="U320" i="1"/>
  <c r="T311" i="1"/>
  <c r="G302" i="1"/>
  <c r="T302" i="1" s="1"/>
  <c r="V178" i="1"/>
  <c r="U147" i="1"/>
  <c r="U388" i="1"/>
  <c r="E301" i="1"/>
  <c r="T369" i="1"/>
  <c r="V384" i="1"/>
  <c r="U382" i="1"/>
  <c r="I369" i="1"/>
  <c r="U369" i="1" s="1"/>
  <c r="J382" i="1"/>
  <c r="V382" i="1" s="1"/>
  <c r="J388" i="1"/>
  <c r="V388" i="1" s="1"/>
  <c r="V202" i="1" l="1"/>
  <c r="U202" i="1"/>
  <c r="I10" i="1"/>
  <c r="U10" i="1" s="1"/>
  <c r="V240" i="1"/>
  <c r="V60" i="1"/>
  <c r="I302" i="1"/>
  <c r="I301" i="1" s="1"/>
  <c r="G301" i="1"/>
  <c r="T301" i="1" s="1"/>
  <c r="U201" i="1"/>
  <c r="V391" i="1"/>
  <c r="U391" i="1"/>
  <c r="E9" i="1"/>
  <c r="J369" i="1"/>
  <c r="I9" i="1" l="1"/>
  <c r="V303" i="1"/>
  <c r="U302" i="1"/>
  <c r="G9" i="1"/>
  <c r="U301" i="1"/>
  <c r="V369" i="1"/>
  <c r="T9" i="1" l="1"/>
  <c r="U9" i="1"/>
  <c r="K11" i="1"/>
  <c r="J26" i="1"/>
  <c r="M11" i="1"/>
  <c r="J12" i="1" l="1"/>
  <c r="J11" i="1" s="1"/>
  <c r="V11" i="1" s="1"/>
  <c r="K82" i="1"/>
  <c r="M82" i="1"/>
  <c r="J85" i="1"/>
  <c r="J82" i="1" s="1"/>
  <c r="V82" i="1" l="1"/>
  <c r="K164" i="1"/>
  <c r="K10" i="1" s="1"/>
  <c r="J165" i="1"/>
  <c r="M164" i="1"/>
  <c r="M10" i="1" s="1"/>
  <c r="M9" i="1" s="1"/>
  <c r="F8" i="7" s="1"/>
  <c r="F15" i="7" l="1"/>
  <c r="J164" i="1"/>
  <c r="J10" i="1" l="1"/>
  <c r="V164" i="1"/>
  <c r="V10" i="1" l="1"/>
  <c r="J272" i="1"/>
  <c r="J261" i="1" s="1"/>
  <c r="K261" i="1"/>
  <c r="K201" i="1" s="1"/>
  <c r="V261" i="1" l="1"/>
  <c r="J201" i="1"/>
  <c r="V201" i="1" s="1"/>
  <c r="K345" i="1" l="1"/>
  <c r="K311" i="1" s="1"/>
  <c r="K302" i="1" s="1"/>
  <c r="J346" i="1"/>
  <c r="J345" i="1" s="1"/>
  <c r="O345" i="1"/>
  <c r="J311" i="1" l="1"/>
  <c r="V312" i="1"/>
  <c r="V345" i="1"/>
  <c r="V311" i="1" l="1"/>
  <c r="J302" i="1"/>
  <c r="V302" i="1" s="1"/>
  <c r="K352" i="1"/>
  <c r="J352" i="1"/>
  <c r="K358" i="1"/>
  <c r="J358" i="1"/>
  <c r="O358" i="1"/>
  <c r="O301" i="1" s="1"/>
  <c r="O9" i="1" s="1"/>
  <c r="I8" i="7" s="1"/>
  <c r="K301" i="1" l="1"/>
  <c r="K9" i="1" s="1"/>
  <c r="V352" i="1"/>
  <c r="V358" i="1"/>
  <c r="J301" i="1"/>
  <c r="I15" i="7"/>
  <c r="D8" i="7"/>
  <c r="D15" i="7" s="1"/>
  <c r="D16" i="7" l="1"/>
  <c r="V301" i="1"/>
  <c r="J9" i="1"/>
  <c r="V9" i="1" s="1"/>
  <c r="K87" i="2"/>
  <c r="K4" i="2"/>
  <c r="R303" i="1" s="1"/>
  <c r="J89" i="2"/>
  <c r="J87" i="2"/>
  <c r="Q87" i="2" l="1"/>
  <c r="D30" i="5"/>
  <c r="E30" i="5"/>
  <c r="J4" i="2"/>
  <c r="Q4" i="2" s="1"/>
</calcChain>
</file>

<file path=xl/comments1.xml><?xml version="1.0" encoding="utf-8"?>
<comments xmlns="http://schemas.openxmlformats.org/spreadsheetml/2006/main">
  <authors>
    <author>Hoàng Liên</author>
  </authors>
  <commentList>
    <comment ref="G9" authorId="0" shapeId="0">
      <text>
        <r>
          <rPr>
            <b/>
            <sz val="9"/>
            <color indexed="81"/>
            <rFont val="Tahoma"/>
          </rPr>
          <t>Hoàng Liên:</t>
        </r>
        <r>
          <rPr>
            <sz val="9"/>
            <color indexed="81"/>
            <rFont val="Tahoma"/>
          </rPr>
          <t xml:space="preserve">
- Đào tạo, bồi dưỡng CBCCVC: 1.000tr
- Dự phòng: 1.984,473tr</t>
        </r>
      </text>
    </comment>
  </commentList>
</comments>
</file>

<file path=xl/comments2.xml><?xml version="1.0" encoding="utf-8"?>
<comments xmlns="http://schemas.openxmlformats.org/spreadsheetml/2006/main">
  <authors>
    <author>Hoàng Liên</author>
  </authors>
  <commentList>
    <comment ref="D32" authorId="0" shapeId="0">
      <text>
        <r>
          <rPr>
            <b/>
            <sz val="9"/>
            <color indexed="81"/>
            <rFont val="Tahoma"/>
            <family val="2"/>
          </rPr>
          <t>Hoàng Liên:</t>
        </r>
        <r>
          <rPr>
            <sz val="9"/>
            <color indexed="81"/>
            <rFont val="Tahoma"/>
            <family val="2"/>
          </rPr>
          <t xml:space="preserve">
Xã Quyết toán thừa 92tr</t>
        </r>
      </text>
    </comment>
  </commentList>
</comments>
</file>

<file path=xl/comments3.xml><?xml version="1.0" encoding="utf-8"?>
<comments xmlns="http://schemas.openxmlformats.org/spreadsheetml/2006/main">
  <authors>
    <author>Hoàng Liên</author>
  </authors>
  <commentList>
    <comment ref="F19" authorId="0" shapeId="0">
      <text>
        <r>
          <rPr>
            <b/>
            <sz val="9"/>
            <color indexed="81"/>
            <rFont val="Tahoma"/>
            <family val="2"/>
          </rPr>
          <t>Hoàng Liên:</t>
        </r>
        <r>
          <rPr>
            <sz val="9"/>
            <color indexed="81"/>
            <rFont val="Tahoma"/>
            <family val="2"/>
          </rPr>
          <t xml:space="preserve">
498/QĐ-UBND ngày 04/06/2024</t>
        </r>
      </text>
    </comment>
    <comment ref="B20" authorId="0" shapeId="0">
      <text>
        <r>
          <rPr>
            <b/>
            <sz val="9"/>
            <color indexed="81"/>
            <rFont val="Tahoma"/>
            <family val="2"/>
          </rPr>
          <t>Hoàng Liên:</t>
        </r>
        <r>
          <rPr>
            <sz val="9"/>
            <color indexed="81"/>
            <rFont val="Tahoma"/>
            <family val="2"/>
          </rPr>
          <t xml:space="preserve">
587/QĐ-UBND ngày 20/06/2024</t>
        </r>
      </text>
    </comment>
    <comment ref="E21" authorId="0" shapeId="0">
      <text>
        <r>
          <rPr>
            <b/>
            <sz val="9"/>
            <color indexed="81"/>
            <rFont val="Tahoma"/>
            <family val="2"/>
          </rPr>
          <t>Hoàng Liên:</t>
        </r>
        <r>
          <rPr>
            <sz val="9"/>
            <color indexed="81"/>
            <rFont val="Tahoma"/>
            <family val="2"/>
          </rPr>
          <t xml:space="preserve">
B</t>
        </r>
        <r>
          <rPr>
            <sz val="12"/>
            <color indexed="81"/>
            <rFont val="Tahoma"/>
            <family val="2"/>
          </rPr>
          <t>ao gồm:
- Thuê máy photo
- Ban hành văn bản</t>
        </r>
      </text>
    </comment>
    <comment ref="E24" authorId="0" shapeId="0">
      <text>
        <r>
          <rPr>
            <b/>
            <sz val="9"/>
            <color indexed="81"/>
            <rFont val="Tahoma"/>
            <family val="2"/>
          </rPr>
          <t>Hoàng Liên:</t>
        </r>
        <r>
          <rPr>
            <sz val="9"/>
            <color indexed="81"/>
            <rFont val="Tahoma"/>
            <family val="2"/>
          </rPr>
          <t xml:space="preserve">
Thêm 50tr quyết toán tết STC, SKH, thêm…</t>
        </r>
      </text>
    </comment>
    <comment ref="B27" authorId="0" shapeId="0">
      <text>
        <r>
          <rPr>
            <b/>
            <sz val="9"/>
            <color indexed="81"/>
            <rFont val="Tahoma"/>
            <family val="2"/>
          </rPr>
          <t>Hoàng Liên:</t>
        </r>
        <r>
          <rPr>
            <sz val="9"/>
            <color indexed="81"/>
            <rFont val="Tahoma"/>
            <family val="2"/>
          </rPr>
          <t xml:space="preserve">
1030/QĐ-UBND ngày 29/12/2023</t>
        </r>
      </text>
    </comment>
    <comment ref="B30" authorId="0" shapeId="0">
      <text>
        <r>
          <rPr>
            <b/>
            <sz val="9"/>
            <color indexed="81"/>
            <rFont val="Tahoma"/>
            <family val="2"/>
          </rPr>
          <t>Hoàng Liên:</t>
        </r>
        <r>
          <rPr>
            <sz val="9"/>
            <color indexed="81"/>
            <rFont val="Tahoma"/>
            <family val="2"/>
          </rPr>
          <t xml:space="preserve">
99/QĐ-UBND ngày 31/01/2024</t>
        </r>
      </text>
    </comment>
    <comment ref="B31" authorId="0" shapeId="0">
      <text>
        <r>
          <rPr>
            <b/>
            <sz val="9"/>
            <color indexed="81"/>
            <rFont val="Tahoma"/>
            <family val="2"/>
          </rPr>
          <t>Hoàng Liên:</t>
        </r>
        <r>
          <rPr>
            <sz val="9"/>
            <color indexed="81"/>
            <rFont val="Tahoma"/>
            <family val="2"/>
          </rPr>
          <t xml:space="preserve">
NS Huyện: 187/QĐ-UBND ngày 06/03/2024</t>
        </r>
      </text>
    </comment>
    <comment ref="B33" authorId="0" shapeId="0">
      <text>
        <r>
          <rPr>
            <b/>
            <sz val="9"/>
            <color indexed="81"/>
            <rFont val="Tahoma"/>
            <family val="2"/>
          </rPr>
          <t>Hoàng Liên:</t>
        </r>
        <r>
          <rPr>
            <sz val="9"/>
            <color indexed="81"/>
            <rFont val="Tahoma"/>
            <family val="2"/>
          </rPr>
          <t xml:space="preserve">
656/QĐ-UBND ngày 15/7/2024</t>
        </r>
      </text>
    </comment>
    <comment ref="B34" authorId="0" shapeId="0">
      <text>
        <r>
          <rPr>
            <b/>
            <sz val="9"/>
            <color indexed="81"/>
            <rFont val="Tahoma"/>
            <family val="2"/>
          </rPr>
          <t>Hoàng Liên:</t>
        </r>
        <r>
          <rPr>
            <sz val="9"/>
            <color indexed="81"/>
            <rFont val="Tahoma"/>
            <family val="2"/>
          </rPr>
          <t xml:space="preserve">
369/QĐ-UBND ngày 07/05/2024</t>
        </r>
      </text>
    </comment>
    <comment ref="B52" authorId="0" shapeId="0">
      <text>
        <r>
          <rPr>
            <b/>
            <sz val="9"/>
            <color indexed="81"/>
            <rFont val="Tahoma"/>
            <family val="2"/>
          </rPr>
          <t>Hoàng Liên:</t>
        </r>
        <r>
          <rPr>
            <sz val="9"/>
            <color indexed="81"/>
            <rFont val="Tahoma"/>
            <family val="2"/>
          </rPr>
          <t xml:space="preserve">
587/QĐ-UBND ngày 20/06/2024</t>
        </r>
      </text>
    </comment>
    <comment ref="B53" authorId="0" shapeId="0">
      <text>
        <r>
          <rPr>
            <b/>
            <sz val="9"/>
            <color indexed="81"/>
            <rFont val="Tahoma"/>
            <family val="2"/>
          </rPr>
          <t>Hoàng Liên:</t>
        </r>
        <r>
          <rPr>
            <sz val="9"/>
            <color indexed="81"/>
            <rFont val="Tahoma"/>
            <family val="2"/>
          </rPr>
          <t xml:space="preserve">
1030/QĐ-UBND ngày 29/12/2023</t>
        </r>
      </text>
    </comment>
    <comment ref="B54" authorId="0" shapeId="0">
      <text>
        <r>
          <rPr>
            <b/>
            <sz val="9"/>
            <color indexed="81"/>
            <rFont val="Tahoma"/>
            <family val="2"/>
          </rPr>
          <t>Hoàng Liên:</t>
        </r>
        <r>
          <rPr>
            <sz val="9"/>
            <color indexed="81"/>
            <rFont val="Tahoma"/>
            <family val="2"/>
          </rPr>
          <t xml:space="preserve">
1059/QĐ-UBND ngày 29/12/202</t>
        </r>
      </text>
    </comment>
    <comment ref="B56" authorId="0" shapeId="0">
      <text>
        <r>
          <rPr>
            <b/>
            <sz val="9"/>
            <color indexed="81"/>
            <rFont val="Tahoma"/>
            <family val="2"/>
          </rPr>
          <t>Hoàng Liên:</t>
        </r>
        <r>
          <rPr>
            <sz val="9"/>
            <color indexed="81"/>
            <rFont val="Tahoma"/>
            <family val="2"/>
          </rPr>
          <t xml:space="preserve">
712/QĐ-UBND ngày 02/8/2024</t>
        </r>
      </text>
    </comment>
    <comment ref="B57" authorId="0" shapeId="0">
      <text>
        <r>
          <rPr>
            <b/>
            <sz val="9"/>
            <color indexed="81"/>
            <rFont val="Tahoma"/>
            <family val="2"/>
          </rPr>
          <t>Hoàng Liên:</t>
        </r>
        <r>
          <rPr>
            <sz val="9"/>
            <color indexed="81"/>
            <rFont val="Tahoma"/>
            <family val="2"/>
          </rPr>
          <t xml:space="preserve">
749/QĐ-UBND ngày 19/8/2024</t>
        </r>
      </text>
    </comment>
    <comment ref="B58" authorId="0" shapeId="0">
      <text>
        <r>
          <rPr>
            <b/>
            <sz val="9"/>
            <color indexed="81"/>
            <rFont val="Tahoma"/>
            <family val="2"/>
          </rPr>
          <t>Hoàng Liên:</t>
        </r>
        <r>
          <rPr>
            <sz val="9"/>
            <color indexed="81"/>
            <rFont val="Tahoma"/>
            <family val="2"/>
          </rPr>
          <t xml:space="preserve">
656/QĐ-UBND ngày 15/7/2024</t>
        </r>
      </text>
    </comment>
    <comment ref="E61" authorId="0" shapeId="0">
      <text>
        <r>
          <rPr>
            <b/>
            <sz val="9"/>
            <color indexed="81"/>
            <rFont val="Tahoma"/>
            <family val="2"/>
          </rPr>
          <t>Hoàng Liên:</t>
        </r>
        <r>
          <rPr>
            <sz val="9"/>
            <color indexed="81"/>
            <rFont val="Tahoma"/>
            <family val="2"/>
          </rPr>
          <t xml:space="preserve">
3 cuộc</t>
        </r>
      </text>
    </comment>
    <comment ref="E69" authorId="0" shapeId="0">
      <text>
        <r>
          <rPr>
            <b/>
            <sz val="9"/>
            <color indexed="81"/>
            <rFont val="Tahoma"/>
            <family val="2"/>
          </rPr>
          <t>Hoàng Liên:</t>
        </r>
        <r>
          <rPr>
            <sz val="9"/>
            <color indexed="81"/>
            <rFont val="Tahoma"/>
            <family val="2"/>
          </rPr>
          <t xml:space="preserve">
400.000đ/01 hồ sơ</t>
        </r>
      </text>
    </comment>
    <comment ref="B79" authorId="0" shapeId="0">
      <text>
        <r>
          <rPr>
            <b/>
            <sz val="9"/>
            <color indexed="81"/>
            <rFont val="Tahoma"/>
            <family val="2"/>
          </rPr>
          <t>Hoàng Liên:</t>
        </r>
        <r>
          <rPr>
            <sz val="9"/>
            <color indexed="81"/>
            <rFont val="Tahoma"/>
            <family val="2"/>
          </rPr>
          <t xml:space="preserve">
1030/QĐ-UBND ngày 29/12/2023</t>
        </r>
      </text>
    </comment>
    <comment ref="B80" authorId="0" shapeId="0">
      <text>
        <r>
          <rPr>
            <b/>
            <sz val="9"/>
            <color indexed="81"/>
            <rFont val="Tahoma"/>
            <family val="2"/>
          </rPr>
          <t>Hoàng Liên:</t>
        </r>
        <r>
          <rPr>
            <sz val="9"/>
            <color indexed="81"/>
            <rFont val="Tahoma"/>
            <family val="2"/>
          </rPr>
          <t xml:space="preserve">
1059/QĐ-UBND ngày 29/12/202</t>
        </r>
      </text>
    </comment>
    <comment ref="B81" authorId="0" shapeId="0">
      <text>
        <r>
          <rPr>
            <b/>
            <sz val="9"/>
            <color indexed="81"/>
            <rFont val="Tahoma"/>
            <family val="2"/>
          </rPr>
          <t>Hoàng Liên:</t>
        </r>
        <r>
          <rPr>
            <sz val="9"/>
            <color indexed="81"/>
            <rFont val="Tahoma"/>
            <family val="2"/>
          </rPr>
          <t xml:space="preserve">
671/QĐ-UBND ngày 23/07/2024</t>
        </r>
      </text>
    </comment>
    <comment ref="C89" authorId="0" shapeId="0">
      <text>
        <r>
          <rPr>
            <b/>
            <sz val="9"/>
            <color indexed="81"/>
            <rFont val="Tahoma"/>
            <family val="2"/>
          </rPr>
          <t>Hoàng Liên:</t>
        </r>
        <r>
          <rPr>
            <sz val="9"/>
            <color indexed="81"/>
            <rFont val="Tahoma"/>
            <family val="2"/>
          </rPr>
          <t xml:space="preserve">
NS Huyện</t>
        </r>
      </text>
    </comment>
    <comment ref="B90" authorId="0" shapeId="0">
      <text>
        <r>
          <rPr>
            <b/>
            <sz val="9"/>
            <color indexed="81"/>
            <rFont val="Tahoma"/>
            <family val="2"/>
          </rPr>
          <t>Hoàng Liên:</t>
        </r>
        <r>
          <rPr>
            <sz val="9"/>
            <color indexed="81"/>
            <rFont val="Tahoma"/>
            <family val="2"/>
          </rPr>
          <t xml:space="preserve">
587/QĐ-UBND ngày 20/06/2024</t>
        </r>
      </text>
    </comment>
    <comment ref="B91" authorId="0" shapeId="0">
      <text>
        <r>
          <rPr>
            <b/>
            <sz val="9"/>
            <color indexed="81"/>
            <rFont val="Tahoma"/>
            <family val="2"/>
          </rPr>
          <t>Hoàng Liên:</t>
        </r>
        <r>
          <rPr>
            <sz val="9"/>
            <color indexed="81"/>
            <rFont val="Tahoma"/>
            <family val="2"/>
          </rPr>
          <t xml:space="preserve">
1030/QĐ-UBND ngày 29/12/2023</t>
        </r>
      </text>
    </comment>
    <comment ref="B93" authorId="0" shapeId="0">
      <text>
        <r>
          <rPr>
            <b/>
            <sz val="9"/>
            <color indexed="81"/>
            <rFont val="Tahoma"/>
            <family val="2"/>
          </rPr>
          <t>Hoàng Liên:</t>
        </r>
        <r>
          <rPr>
            <sz val="9"/>
            <color indexed="81"/>
            <rFont val="Tahoma"/>
            <family val="2"/>
          </rPr>
          <t xml:space="preserve">
1059/QĐ-UBND ngày 29/12/202</t>
        </r>
      </text>
    </comment>
    <comment ref="B94" authorId="0" shapeId="0">
      <text>
        <r>
          <rPr>
            <b/>
            <sz val="9"/>
            <color indexed="81"/>
            <rFont val="Tahoma"/>
            <family val="2"/>
          </rPr>
          <t>Hoàng Liên:</t>
        </r>
        <r>
          <rPr>
            <sz val="9"/>
            <color indexed="81"/>
            <rFont val="Tahoma"/>
            <family val="2"/>
          </rPr>
          <t xml:space="preserve">
220/QĐ-UBND ngày 11/03/2024</t>
        </r>
      </text>
    </comment>
    <comment ref="B96" authorId="0" shapeId="0">
      <text>
        <r>
          <rPr>
            <b/>
            <sz val="9"/>
            <color indexed="81"/>
            <rFont val="Tahoma"/>
            <family val="2"/>
          </rPr>
          <t>Hoàng Liên:</t>
        </r>
        <r>
          <rPr>
            <sz val="9"/>
            <color indexed="81"/>
            <rFont val="Tahoma"/>
            <family val="2"/>
          </rPr>
          <t xml:space="preserve">
656/QĐ-UBND ngày 15/7/2024</t>
        </r>
      </text>
    </comment>
    <comment ref="F104" authorId="0" shapeId="0">
      <text>
        <r>
          <rPr>
            <b/>
            <sz val="9"/>
            <color indexed="81"/>
            <rFont val="Tahoma"/>
            <family val="2"/>
          </rPr>
          <t>Hoàng Liên:</t>
        </r>
        <r>
          <rPr>
            <sz val="9"/>
            <color indexed="81"/>
            <rFont val="Tahoma"/>
            <family val="2"/>
          </rPr>
          <t xml:space="preserve">
498/QĐ-UBND ngày 04/06/2024</t>
        </r>
      </text>
    </comment>
    <comment ref="B105" authorId="0" shapeId="0">
      <text>
        <r>
          <rPr>
            <b/>
            <sz val="9"/>
            <color indexed="81"/>
            <rFont val="Tahoma"/>
            <family val="2"/>
          </rPr>
          <t>Hoàng Liên:</t>
        </r>
        <r>
          <rPr>
            <sz val="9"/>
            <color indexed="81"/>
            <rFont val="Tahoma"/>
            <family val="2"/>
          </rPr>
          <t xml:space="preserve">
587/QĐ-UBND ngày 20/06/2024</t>
        </r>
      </text>
    </comment>
    <comment ref="B113" authorId="0" shapeId="0">
      <text>
        <r>
          <rPr>
            <b/>
            <sz val="9"/>
            <color indexed="81"/>
            <rFont val="Tahoma"/>
            <family val="2"/>
          </rPr>
          <t>Hoàng Liên:</t>
        </r>
        <r>
          <rPr>
            <sz val="9"/>
            <color indexed="81"/>
            <rFont val="Tahoma"/>
            <family val="2"/>
          </rPr>
          <t xml:space="preserve">
360/QĐ-UBND ngày 16/4/2024</t>
        </r>
      </text>
    </comment>
    <comment ref="B114" authorId="0" shapeId="0">
      <text>
        <r>
          <rPr>
            <b/>
            <sz val="9"/>
            <color indexed="81"/>
            <rFont val="Tahoma"/>
            <family val="2"/>
          </rPr>
          <t>Hoàng Liên:</t>
        </r>
        <r>
          <rPr>
            <sz val="9"/>
            <color indexed="81"/>
            <rFont val="Tahoma"/>
            <family val="2"/>
          </rPr>
          <t xml:space="preserve">
564/QĐ-UBND ngày 12/6/2024</t>
        </r>
      </text>
    </comment>
    <comment ref="B115" authorId="0" shapeId="0">
      <text>
        <r>
          <rPr>
            <b/>
            <sz val="9"/>
            <color indexed="81"/>
            <rFont val="Tahoma"/>
            <family val="2"/>
          </rPr>
          <t>Hoàng Liên:</t>
        </r>
        <r>
          <rPr>
            <sz val="9"/>
            <color indexed="81"/>
            <rFont val="Tahoma"/>
            <family val="2"/>
          </rPr>
          <t xml:space="preserve">
420/QĐ-UBND ngày 08/05/2024</t>
        </r>
      </text>
    </comment>
    <comment ref="B116" authorId="0" shapeId="0">
      <text>
        <r>
          <rPr>
            <b/>
            <sz val="9"/>
            <color indexed="81"/>
            <rFont val="Tahoma"/>
            <family val="2"/>
          </rPr>
          <t>Hoàng Liên:</t>
        </r>
        <r>
          <rPr>
            <sz val="9"/>
            <color indexed="81"/>
            <rFont val="Tahoma"/>
            <family val="2"/>
          </rPr>
          <t xml:space="preserve">
453/QĐ-UBND ngày 17/05/2024</t>
        </r>
      </text>
    </comment>
    <comment ref="B117" authorId="0" shapeId="0">
      <text>
        <r>
          <rPr>
            <b/>
            <sz val="9"/>
            <color indexed="81"/>
            <rFont val="Tahoma"/>
            <family val="2"/>
          </rPr>
          <t>Hoàng Liên:</t>
        </r>
        <r>
          <rPr>
            <sz val="9"/>
            <color indexed="81"/>
            <rFont val="Tahoma"/>
            <family val="2"/>
          </rPr>
          <t xml:space="preserve">
99/QĐ-UBND ngày 31/01/2024</t>
        </r>
      </text>
    </comment>
    <comment ref="B118" authorId="0" shapeId="0">
      <text>
        <r>
          <rPr>
            <b/>
            <sz val="9"/>
            <color indexed="81"/>
            <rFont val="Tahoma"/>
            <family val="2"/>
          </rPr>
          <t>Hoàng Liên:</t>
        </r>
        <r>
          <rPr>
            <sz val="9"/>
            <color indexed="81"/>
            <rFont val="Tahoma"/>
            <family val="2"/>
          </rPr>
          <t xml:space="preserve">
586/QĐ-UBND ngày 20/06/2024</t>
        </r>
      </text>
    </comment>
    <comment ref="C123" authorId="0" shapeId="0">
      <text>
        <r>
          <rPr>
            <b/>
            <sz val="9"/>
            <color indexed="81"/>
            <rFont val="Tahoma"/>
            <family val="2"/>
          </rPr>
          <t>Hoàng Liên:</t>
        </r>
        <r>
          <rPr>
            <sz val="9"/>
            <color indexed="81"/>
            <rFont val="Tahoma"/>
            <family val="2"/>
          </rPr>
          <t xml:space="preserve">
1064/QĐ-UBND ngày 29/12/2023</t>
        </r>
      </text>
    </comment>
    <comment ref="B124" authorId="0" shapeId="0">
      <text>
        <r>
          <rPr>
            <b/>
            <sz val="9"/>
            <color indexed="81"/>
            <rFont val="Tahoma"/>
            <family val="2"/>
          </rPr>
          <t>Hoàng Liên:</t>
        </r>
        <r>
          <rPr>
            <sz val="9"/>
            <color indexed="81"/>
            <rFont val="Tahoma"/>
            <family val="2"/>
          </rPr>
          <t xml:space="preserve">
1030/QĐ-UBND ngày 29/12/2023</t>
        </r>
      </text>
    </comment>
    <comment ref="B125" authorId="0" shapeId="0">
      <text>
        <r>
          <rPr>
            <b/>
            <sz val="9"/>
            <color indexed="81"/>
            <rFont val="Tahoma"/>
            <family val="2"/>
          </rPr>
          <t>Hoàng Liên:</t>
        </r>
        <r>
          <rPr>
            <sz val="9"/>
            <color indexed="81"/>
            <rFont val="Tahoma"/>
            <family val="2"/>
          </rPr>
          <t xml:space="preserve">
'09/QĐ-UBND ngày 03/01/2024</t>
        </r>
      </text>
    </comment>
    <comment ref="B126" authorId="0" shapeId="0">
      <text>
        <r>
          <rPr>
            <b/>
            <sz val="9"/>
            <color indexed="81"/>
            <rFont val="Tahoma"/>
            <family val="2"/>
          </rPr>
          <t>Hoàng Liên:</t>
        </r>
        <r>
          <rPr>
            <sz val="9"/>
            <color indexed="81"/>
            <rFont val="Tahoma"/>
            <family val="2"/>
          </rPr>
          <t xml:space="preserve">
557/QĐ-UBND ngày 07/06/2024</t>
        </r>
      </text>
    </comment>
    <comment ref="B127" authorId="0" shapeId="0">
      <text>
        <r>
          <rPr>
            <b/>
            <sz val="9"/>
            <color indexed="81"/>
            <rFont val="Tahoma"/>
            <family val="2"/>
          </rPr>
          <t>Hoàng Liên:</t>
        </r>
        <r>
          <rPr>
            <sz val="9"/>
            <color indexed="81"/>
            <rFont val="Tahoma"/>
            <family val="2"/>
          </rPr>
          <t xml:space="preserve">
629/QĐ-UBND ngày 08/7/2024</t>
        </r>
      </text>
    </comment>
    <comment ref="E129" authorId="0" shapeId="0">
      <text>
        <r>
          <rPr>
            <b/>
            <sz val="9"/>
            <color indexed="81"/>
            <rFont val="Tahoma"/>
            <family val="2"/>
          </rPr>
          <t>Hoàng Liên:</t>
        </r>
        <r>
          <rPr>
            <sz val="9"/>
            <color indexed="81"/>
            <rFont val="Tahoma"/>
            <family val="2"/>
          </rPr>
          <t xml:space="preserve">
- Sơ tuyển: 50tr
- Chính thức: 50tr
- Ma túy, HIV: 50tr</t>
        </r>
      </text>
    </comment>
    <comment ref="E130" authorId="0" shapeId="0">
      <text>
        <r>
          <rPr>
            <b/>
            <sz val="9"/>
            <color indexed="81"/>
            <rFont val="Tahoma"/>
            <family val="2"/>
          </rPr>
          <t>Hoàng Liên:</t>
        </r>
        <r>
          <rPr>
            <sz val="9"/>
            <color indexed="81"/>
            <rFont val="Tahoma"/>
            <family val="2"/>
          </rPr>
          <t xml:space="preserve">
Đơn vị tự cân đối không cấp BS</t>
        </r>
      </text>
    </comment>
    <comment ref="B131" authorId="0" shapeId="0">
      <text>
        <r>
          <rPr>
            <b/>
            <sz val="9"/>
            <color indexed="81"/>
            <rFont val="Tahoma"/>
            <family val="2"/>
          </rPr>
          <t>Hoàng Liên:</t>
        </r>
        <r>
          <rPr>
            <sz val="9"/>
            <color indexed="81"/>
            <rFont val="Tahoma"/>
            <family val="2"/>
          </rPr>
          <t xml:space="preserve">
695/QĐ-UBND ngày 25/7/2024</t>
        </r>
      </text>
    </comment>
    <comment ref="B138" authorId="0" shapeId="0">
      <text>
        <r>
          <rPr>
            <b/>
            <sz val="9"/>
            <color indexed="81"/>
            <rFont val="Tahoma"/>
            <family val="2"/>
          </rPr>
          <t>Hoàng Liên:</t>
        </r>
        <r>
          <rPr>
            <sz val="9"/>
            <color indexed="81"/>
            <rFont val="Tahoma"/>
            <family val="2"/>
          </rPr>
          <t xml:space="preserve">
587/QĐ-UBND ngày 20/06/2024</t>
        </r>
      </text>
    </comment>
    <comment ref="B139" authorId="0" shapeId="0">
      <text>
        <r>
          <rPr>
            <b/>
            <sz val="9"/>
            <color indexed="81"/>
            <rFont val="Tahoma"/>
            <family val="2"/>
          </rPr>
          <t>Hoàng Liên:</t>
        </r>
        <r>
          <rPr>
            <sz val="9"/>
            <color indexed="81"/>
            <rFont val="Tahoma"/>
            <family val="2"/>
          </rPr>
          <t xml:space="preserve">
1030/QĐ-UBND ngày 29/12/2023</t>
        </r>
      </text>
    </comment>
    <comment ref="B141" authorId="0" shapeId="0">
      <text>
        <r>
          <rPr>
            <b/>
            <sz val="9"/>
            <color indexed="81"/>
            <rFont val="Tahoma"/>
            <family val="2"/>
          </rPr>
          <t>Hoàng Liên:</t>
        </r>
        <r>
          <rPr>
            <sz val="9"/>
            <color indexed="81"/>
            <rFont val="Tahoma"/>
            <family val="2"/>
          </rPr>
          <t xml:space="preserve">
NS Tỉnh: 87/QD-UBND ngày 26/01/2024</t>
        </r>
      </text>
    </comment>
    <comment ref="J141" authorId="0" shapeId="0">
      <text>
        <r>
          <rPr>
            <b/>
            <sz val="9"/>
            <color indexed="81"/>
            <rFont val="Tahoma"/>
            <family val="2"/>
          </rPr>
          <t>Hoàng Liên:</t>
        </r>
        <r>
          <rPr>
            <sz val="9"/>
            <color indexed="81"/>
            <rFont val="Tahoma"/>
            <family val="2"/>
          </rPr>
          <t xml:space="preserve">
NS Tỉnh</t>
        </r>
      </text>
    </comment>
    <comment ref="B142" authorId="0" shapeId="0">
      <text>
        <r>
          <rPr>
            <b/>
            <sz val="9"/>
            <color indexed="81"/>
            <rFont val="Tahoma"/>
            <family val="2"/>
          </rPr>
          <t>Hoàng Liên:</t>
        </r>
        <r>
          <rPr>
            <sz val="9"/>
            <color indexed="81"/>
            <rFont val="Tahoma"/>
            <family val="2"/>
          </rPr>
          <t xml:space="preserve">
NS Tỉnh: 87/QD-UBND ngày 26/01/2024</t>
        </r>
      </text>
    </comment>
    <comment ref="B145" authorId="0" shapeId="0">
      <text>
        <r>
          <rPr>
            <b/>
            <sz val="9"/>
            <color indexed="81"/>
            <rFont val="Tahoma"/>
            <family val="2"/>
          </rPr>
          <t>Hoàng Liên:</t>
        </r>
        <r>
          <rPr>
            <sz val="9"/>
            <color indexed="81"/>
            <rFont val="Tahoma"/>
            <family val="2"/>
          </rPr>
          <t xml:space="preserve">
NS Huyện</t>
        </r>
      </text>
    </comment>
    <comment ref="B146" authorId="0" shapeId="0">
      <text>
        <r>
          <rPr>
            <b/>
            <sz val="9"/>
            <color indexed="81"/>
            <rFont val="Tahoma"/>
            <family val="2"/>
          </rPr>
          <t>Hoàng Liên:</t>
        </r>
        <r>
          <rPr>
            <sz val="9"/>
            <color indexed="81"/>
            <rFont val="Tahoma"/>
            <family val="2"/>
          </rPr>
          <t xml:space="preserve">
'98/QĐ-UBND ngày 31/01/2024</t>
        </r>
      </text>
    </comment>
    <comment ref="E150" authorId="0" shapeId="0">
      <text>
        <r>
          <rPr>
            <b/>
            <sz val="9"/>
            <color indexed="81"/>
            <rFont val="Tahoma"/>
            <family val="2"/>
          </rPr>
          <t>Hoàng Liên:</t>
        </r>
        <r>
          <rPr>
            <sz val="9"/>
            <color indexed="81"/>
            <rFont val="Tahoma"/>
            <family val="2"/>
          </rPr>
          <t xml:space="preserve">
Tạm ghi hoạt động BCĐ chuyển đổi số là 50tr</t>
        </r>
      </text>
    </comment>
    <comment ref="J151" authorId="0" shapeId="0">
      <text>
        <r>
          <rPr>
            <b/>
            <sz val="9"/>
            <color indexed="81"/>
            <rFont val="Tahoma"/>
            <family val="2"/>
          </rPr>
          <t>Hoàng Liên:</t>
        </r>
        <r>
          <rPr>
            <sz val="9"/>
            <color indexed="81"/>
            <rFont val="Tahoma"/>
            <family val="2"/>
          </rPr>
          <t xml:space="preserve">
4830/UBND-KT ngày 18/10/2023: mua tạp chí Văn nghệ và
Sách di sản văn hóa Đồng Tháp</t>
        </r>
      </text>
    </comment>
    <comment ref="B162" authorId="0" shapeId="0">
      <text>
        <r>
          <rPr>
            <b/>
            <sz val="9"/>
            <color indexed="81"/>
            <rFont val="Tahoma"/>
            <family val="2"/>
          </rPr>
          <t>Hoàng Liên:</t>
        </r>
        <r>
          <rPr>
            <sz val="9"/>
            <color indexed="81"/>
            <rFont val="Tahoma"/>
            <family val="2"/>
          </rPr>
          <t xml:space="preserve">
1030/QĐ-UBND ngày 29/12/2023</t>
        </r>
      </text>
    </comment>
    <comment ref="B170" authorId="0" shapeId="0">
      <text>
        <r>
          <rPr>
            <b/>
            <sz val="9"/>
            <color indexed="81"/>
            <rFont val="Tahoma"/>
            <family val="2"/>
          </rPr>
          <t>Hoàng Liên:</t>
        </r>
        <r>
          <rPr>
            <sz val="9"/>
            <color indexed="81"/>
            <rFont val="Tahoma"/>
            <family val="2"/>
          </rPr>
          <t xml:space="preserve">
1030/QĐ-UBND ngày 29/12/2023</t>
        </r>
      </text>
    </comment>
    <comment ref="B176" authorId="0" shapeId="0">
      <text>
        <r>
          <rPr>
            <b/>
            <sz val="9"/>
            <color indexed="81"/>
            <rFont val="Tahoma"/>
            <family val="2"/>
          </rPr>
          <t>Hoàng Liên:</t>
        </r>
        <r>
          <rPr>
            <sz val="9"/>
            <color indexed="81"/>
            <rFont val="Tahoma"/>
            <family val="2"/>
          </rPr>
          <t xml:space="preserve">
625/QĐ-UBND ngày 04/7/2024</t>
        </r>
      </text>
    </comment>
    <comment ref="B177" authorId="0" shapeId="0">
      <text>
        <r>
          <rPr>
            <b/>
            <sz val="9"/>
            <color indexed="81"/>
            <rFont val="Tahoma"/>
            <family val="2"/>
          </rPr>
          <t>Hoàng Liên:</t>
        </r>
        <r>
          <rPr>
            <sz val="9"/>
            <color indexed="81"/>
            <rFont val="Tahoma"/>
            <family val="2"/>
          </rPr>
          <t xml:space="preserve">
738/QĐ-UBND ngày 12/8/2024</t>
        </r>
      </text>
    </comment>
    <comment ref="E179" authorId="0" shapeId="0">
      <text>
        <r>
          <rPr>
            <b/>
            <sz val="9"/>
            <color indexed="81"/>
            <rFont val="Tahoma"/>
            <family val="2"/>
          </rPr>
          <t>Hoàng Liên:</t>
        </r>
        <r>
          <rPr>
            <sz val="9"/>
            <color indexed="81"/>
            <rFont val="Tahoma"/>
            <family val="2"/>
          </rPr>
          <t xml:space="preserve">
</t>
        </r>
        <r>
          <rPr>
            <sz val="12"/>
            <color indexed="81"/>
            <rFont val="Tahoma"/>
            <family val="2"/>
          </rPr>
          <t>Giao thêm 100tr để quyết toán tiền quà cho CB nghĩ hưu, thăm bệnh CB hưu trí là LĐ UBND Huyện qua các thời kỳ
- SNGD: 1.100tr</t>
        </r>
      </text>
    </comment>
    <comment ref="E181" authorId="0" shapeId="0">
      <text>
        <r>
          <rPr>
            <b/>
            <sz val="9"/>
            <color indexed="81"/>
            <rFont val="Tahoma"/>
            <family val="2"/>
          </rPr>
          <t>Hoàng Liên:</t>
        </r>
        <r>
          <rPr>
            <sz val="9"/>
            <color indexed="81"/>
            <rFont val="Tahoma"/>
            <family val="2"/>
          </rPr>
          <t xml:space="preserve">
XD kế hoạch thực hiện</t>
        </r>
      </text>
    </comment>
    <comment ref="E184" authorId="0" shapeId="0">
      <text>
        <r>
          <rPr>
            <b/>
            <sz val="9"/>
            <color indexed="81"/>
            <rFont val="Tahoma"/>
            <family val="2"/>
          </rPr>
          <t>Hoàng Liên:</t>
        </r>
        <r>
          <rPr>
            <sz val="9"/>
            <color indexed="81"/>
            <rFont val="Tahoma"/>
            <family val="2"/>
          </rPr>
          <t xml:space="preserve">
115 mét</t>
        </r>
      </text>
    </comment>
    <comment ref="B186" authorId="0" shapeId="0">
      <text>
        <r>
          <rPr>
            <b/>
            <sz val="9"/>
            <color indexed="81"/>
            <rFont val="Tahoma"/>
            <family val="2"/>
          </rPr>
          <t>Hoàng Liên:</t>
        </r>
        <r>
          <rPr>
            <sz val="9"/>
            <color indexed="81"/>
            <rFont val="Tahoma"/>
            <family val="2"/>
          </rPr>
          <t xml:space="preserve">
587/QĐ-UBND ngày 20/06/2024</t>
        </r>
      </text>
    </comment>
    <comment ref="B187" authorId="0" shapeId="0">
      <text>
        <r>
          <rPr>
            <b/>
            <sz val="9"/>
            <color indexed="81"/>
            <rFont val="Tahoma"/>
            <family val="2"/>
          </rPr>
          <t>Hoàng Liên:</t>
        </r>
        <r>
          <rPr>
            <sz val="9"/>
            <color indexed="81"/>
            <rFont val="Tahoma"/>
            <family val="2"/>
          </rPr>
          <t xml:space="preserve">
1030/QĐ-UBND ngày 29/12/2023</t>
        </r>
      </text>
    </comment>
    <comment ref="B188" authorId="0" shapeId="0">
      <text>
        <r>
          <rPr>
            <b/>
            <sz val="9"/>
            <color indexed="81"/>
            <rFont val="Tahoma"/>
            <family val="2"/>
          </rPr>
          <t>Hoàng Liên:</t>
        </r>
        <r>
          <rPr>
            <sz val="9"/>
            <color indexed="81"/>
            <rFont val="Tahoma"/>
            <family val="2"/>
          </rPr>
          <t xml:space="preserve">
564/QĐ-UBND ngày 12/6/2024</t>
        </r>
      </text>
    </comment>
    <comment ref="B189" authorId="0" shapeId="0">
      <text>
        <r>
          <rPr>
            <b/>
            <sz val="9"/>
            <color indexed="81"/>
            <rFont val="Tahoma"/>
            <family val="2"/>
          </rPr>
          <t>Hoàng Liên:</t>
        </r>
        <r>
          <rPr>
            <sz val="9"/>
            <color indexed="81"/>
            <rFont val="Tahoma"/>
            <family val="2"/>
          </rPr>
          <t xml:space="preserve">
477/QĐ-UBND ngày 27/05/2024</t>
        </r>
      </text>
    </comment>
    <comment ref="B190" authorId="0" shapeId="0">
      <text>
        <r>
          <rPr>
            <b/>
            <sz val="9"/>
            <color indexed="81"/>
            <rFont val="Tahoma"/>
            <family val="2"/>
          </rPr>
          <t>Hoàng Liên:</t>
        </r>
        <r>
          <rPr>
            <sz val="9"/>
            <color indexed="81"/>
            <rFont val="Tahoma"/>
            <family val="2"/>
          </rPr>
          <t xml:space="preserve">
NS Huyện: 187/QĐ-UBND ngày 06/03/2024</t>
        </r>
      </text>
    </comment>
    <comment ref="B191" authorId="0" shapeId="0">
      <text>
        <r>
          <rPr>
            <b/>
            <sz val="9"/>
            <color indexed="81"/>
            <rFont val="Tahoma"/>
            <family val="2"/>
          </rPr>
          <t>Hoàng Liên:</t>
        </r>
        <r>
          <rPr>
            <sz val="9"/>
            <color indexed="81"/>
            <rFont val="Tahoma"/>
            <family val="2"/>
          </rPr>
          <t xml:space="preserve">
NS Huyện: 563/QĐ-UBND ngày 12/06/2024</t>
        </r>
      </text>
    </comment>
    <comment ref="E195" authorId="0" shapeId="0">
      <text>
        <r>
          <rPr>
            <b/>
            <sz val="9"/>
            <color indexed="81"/>
            <rFont val="Tahoma"/>
            <family val="2"/>
          </rPr>
          <t>Hoàng Liên:</t>
        </r>
        <r>
          <rPr>
            <sz val="9"/>
            <color indexed="81"/>
            <rFont val="Tahoma"/>
            <family val="2"/>
          </rPr>
          <t xml:space="preserve">
80.000đ/ngày (theo 129/2017/NQ-HĐND của HĐND Tỉnh)</t>
        </r>
      </text>
    </comment>
    <comment ref="B199" authorId="0" shapeId="0">
      <text>
        <r>
          <rPr>
            <b/>
            <sz val="9"/>
            <color indexed="81"/>
            <rFont val="Tahoma"/>
            <family val="2"/>
          </rPr>
          <t>Hoàng Liên:</t>
        </r>
        <r>
          <rPr>
            <sz val="9"/>
            <color indexed="81"/>
            <rFont val="Tahoma"/>
            <family val="2"/>
          </rPr>
          <t xml:space="preserve">
1030/QĐ-UBND ngày 29/12/2023</t>
        </r>
      </text>
    </comment>
    <comment ref="B200" authorId="0" shapeId="0">
      <text>
        <r>
          <rPr>
            <b/>
            <sz val="9"/>
            <color indexed="81"/>
            <rFont val="Tahoma"/>
            <family val="2"/>
          </rPr>
          <t>Hoàng Liên:</t>
        </r>
        <r>
          <rPr>
            <sz val="9"/>
            <color indexed="81"/>
            <rFont val="Tahoma"/>
            <family val="2"/>
          </rPr>
          <t xml:space="preserve">
474/QĐ-UBND ngày 24/05/2024</t>
        </r>
      </text>
    </comment>
    <comment ref="E209" authorId="0" shapeId="0">
      <text>
        <r>
          <rPr>
            <b/>
            <sz val="9"/>
            <color indexed="81"/>
            <rFont val="Tahoma"/>
            <family val="2"/>
          </rPr>
          <t>Hoàng Liên:</t>
        </r>
        <r>
          <rPr>
            <sz val="9"/>
            <color indexed="81"/>
            <rFont val="Tahoma"/>
            <family val="2"/>
          </rPr>
          <t xml:space="preserve">
Bao gồm tặng quà</t>
        </r>
      </text>
    </comment>
    <comment ref="B211" authorId="0" shapeId="0">
      <text>
        <r>
          <rPr>
            <b/>
            <sz val="9"/>
            <color indexed="81"/>
            <rFont val="Tahoma"/>
            <family val="2"/>
          </rPr>
          <t>Hoàng Liên:</t>
        </r>
        <r>
          <rPr>
            <sz val="9"/>
            <color indexed="81"/>
            <rFont val="Tahoma"/>
            <family val="2"/>
          </rPr>
          <t xml:space="preserve">
Chi theo PL 03 QĐ 10/2016/QĐ-UBND ngày 17/10/2016 của UBND tỉnh Đồng Tháp</t>
        </r>
      </text>
    </comment>
    <comment ref="E212" authorId="0" shapeId="0">
      <text>
        <r>
          <rPr>
            <b/>
            <sz val="9"/>
            <color indexed="81"/>
            <rFont val="Tahoma"/>
            <family val="2"/>
          </rPr>
          <t>Hoàng Liên:</t>
        </r>
        <r>
          <rPr>
            <sz val="9"/>
            <color indexed="81"/>
            <rFont val="Tahoma"/>
            <family val="2"/>
          </rPr>
          <t xml:space="preserve">
BS KP khen thưởng: 8.940
- 5 tập thể x 0,6/người
- 10 cá nhân x 0,3/người</t>
        </r>
      </text>
    </comment>
    <comment ref="E224" authorId="0" shapeId="0">
      <text>
        <r>
          <rPr>
            <b/>
            <sz val="9"/>
            <color indexed="81"/>
            <rFont val="Tahoma"/>
            <family val="2"/>
          </rPr>
          <t>Hoàng Liên:</t>
        </r>
        <r>
          <rPr>
            <sz val="9"/>
            <color indexed="81"/>
            <rFont val="Tahoma"/>
            <family val="2"/>
          </rPr>
          <t xml:space="preserve">
- Hoạt động Đoàn TN: 50tr
- Đối thoại: 25tr
- Cuộc thi ý tưởng khởi nghiệp: 35tr</t>
        </r>
      </text>
    </comment>
    <comment ref="E234" authorId="0" shapeId="0">
      <text>
        <r>
          <rPr>
            <b/>
            <sz val="9"/>
            <color indexed="81"/>
            <rFont val="Tahoma"/>
            <family val="2"/>
          </rPr>
          <t>Hoàng Liên:</t>
        </r>
        <r>
          <rPr>
            <sz val="9"/>
            <color indexed="81"/>
            <rFont val="Tahoma"/>
            <family val="2"/>
          </rPr>
          <t xml:space="preserve">
- Trường ĐH CT 5tr
- Tây đô 3tr
- Cửu Long 3tr
- không Y dược cần thơ 3tr</t>
        </r>
      </text>
    </comment>
    <comment ref="B235" authorId="0" shapeId="0">
      <text>
        <r>
          <rPr>
            <b/>
            <sz val="9"/>
            <color indexed="81"/>
            <rFont val="Tahoma"/>
            <family val="2"/>
          </rPr>
          <t>Hoàng Liên:</t>
        </r>
        <r>
          <rPr>
            <sz val="9"/>
            <color indexed="81"/>
            <rFont val="Tahoma"/>
            <family val="2"/>
          </rPr>
          <t xml:space="preserve">
1030/QĐ-UBND ngày 29/12/2023</t>
        </r>
      </text>
    </comment>
    <comment ref="B242" authorId="0" shapeId="0">
      <text>
        <r>
          <rPr>
            <b/>
            <sz val="9"/>
            <color indexed="81"/>
            <rFont val="Tahoma"/>
            <family val="2"/>
          </rPr>
          <t>Hoàng Liên:</t>
        </r>
        <r>
          <rPr>
            <sz val="9"/>
            <color indexed="81"/>
            <rFont val="Tahoma"/>
            <family val="2"/>
          </rPr>
          <t xml:space="preserve">
Thông báo số 586-TB/VPHU ngày 28/9/2023 của VP.Huyện ủy</t>
        </r>
      </text>
    </comment>
    <comment ref="B251" authorId="0" shapeId="0">
      <text>
        <r>
          <rPr>
            <b/>
            <sz val="9"/>
            <color indexed="81"/>
            <rFont val="Tahoma"/>
            <family val="2"/>
          </rPr>
          <t>Hoàng Liên:</t>
        </r>
        <r>
          <rPr>
            <sz val="9"/>
            <color indexed="81"/>
            <rFont val="Tahoma"/>
            <family val="2"/>
          </rPr>
          <t xml:space="preserve">
- Thuê xe
- Lưu trú</t>
        </r>
      </text>
    </comment>
    <comment ref="E253" authorId="0" shapeId="0">
      <text>
        <r>
          <rPr>
            <b/>
            <sz val="9"/>
            <color indexed="81"/>
            <rFont val="Tahoma"/>
            <family val="2"/>
          </rPr>
          <t>Hoàng Liên:</t>
        </r>
        <r>
          <rPr>
            <sz val="9"/>
            <color indexed="81"/>
            <rFont val="Tahoma"/>
            <family val="2"/>
          </rPr>
          <t xml:space="preserve">
- 2 Đội, 7 người/đội (tập dợt 10 x 100.000đ/ngày)
- Tiền xa: 2tr</t>
        </r>
      </text>
    </comment>
    <comment ref="E254" authorId="0" shapeId="0">
      <text>
        <r>
          <rPr>
            <b/>
            <sz val="9"/>
            <color indexed="81"/>
            <rFont val="Tahoma"/>
            <family val="2"/>
          </rPr>
          <t>Hoàng Liên:</t>
        </r>
        <r>
          <rPr>
            <sz val="9"/>
            <color indexed="81"/>
            <rFont val="Tahoma"/>
            <family val="2"/>
          </rPr>
          <t xml:space="preserve">
- Khăn rằn
- Vòng hoa
- Đồng phục (áo bà ba)</t>
        </r>
      </text>
    </comment>
    <comment ref="F255" authorId="0" shapeId="0">
      <text>
        <r>
          <rPr>
            <b/>
            <sz val="9"/>
            <color indexed="81"/>
            <rFont val="Tahoma"/>
            <family val="2"/>
          </rPr>
          <t>Hoàng Liên:</t>
        </r>
        <r>
          <rPr>
            <sz val="9"/>
            <color indexed="81"/>
            <rFont val="Tahoma"/>
            <family val="2"/>
          </rPr>
          <t xml:space="preserve">
498/QĐ-UBND ngày 04/06/2024</t>
        </r>
      </text>
    </comment>
    <comment ref="B257" authorId="0" shapeId="0">
      <text>
        <r>
          <rPr>
            <b/>
            <sz val="9"/>
            <color indexed="81"/>
            <rFont val="Tahoma"/>
            <family val="2"/>
          </rPr>
          <t>Hoàng Liên:</t>
        </r>
        <r>
          <rPr>
            <sz val="9"/>
            <color indexed="81"/>
            <rFont val="Tahoma"/>
            <family val="2"/>
          </rPr>
          <t xml:space="preserve">
496/QĐ-UBND ngày 31/05/2024</t>
        </r>
      </text>
    </comment>
    <comment ref="B258" authorId="0" shapeId="0">
      <text>
        <r>
          <rPr>
            <b/>
            <sz val="9"/>
            <color indexed="81"/>
            <rFont val="Tahoma"/>
            <family val="2"/>
          </rPr>
          <t>Hoàng Liên:</t>
        </r>
        <r>
          <rPr>
            <sz val="9"/>
            <color indexed="81"/>
            <rFont val="Tahoma"/>
            <family val="2"/>
          </rPr>
          <t xml:space="preserve">
523/QĐ-UBND ngày 04/6/2024</t>
        </r>
      </text>
    </comment>
    <comment ref="B260" authorId="0" shapeId="0">
      <text>
        <r>
          <rPr>
            <b/>
            <sz val="9"/>
            <color indexed="81"/>
            <rFont val="Tahoma"/>
            <family val="2"/>
          </rPr>
          <t>Hoàng Liên:</t>
        </r>
        <r>
          <rPr>
            <sz val="9"/>
            <color indexed="81"/>
            <rFont val="Tahoma"/>
            <family val="2"/>
          </rPr>
          <t xml:space="preserve">
656/QĐ-UBND ngày 15/7/2024</t>
        </r>
      </text>
    </comment>
    <comment ref="E262" authorId="0" shapeId="0">
      <text>
        <r>
          <rPr>
            <b/>
            <sz val="9"/>
            <color indexed="81"/>
            <rFont val="Tahoma"/>
            <family val="2"/>
          </rPr>
          <t>Hoàng Liên:</t>
        </r>
        <r>
          <rPr>
            <sz val="9"/>
            <color indexed="81"/>
            <rFont val="Tahoma"/>
            <family val="2"/>
          </rPr>
          <t xml:space="preserve">
- Tiền ăn 50 người</t>
        </r>
      </text>
    </comment>
    <comment ref="E266" authorId="0" shapeId="0">
      <text>
        <r>
          <rPr>
            <b/>
            <sz val="9"/>
            <color indexed="81"/>
            <rFont val="Tahoma"/>
            <family val="2"/>
          </rPr>
          <t>Hoàng Liên:</t>
        </r>
        <r>
          <rPr>
            <sz val="9"/>
            <color indexed="81"/>
            <rFont val="Tahoma"/>
            <family val="2"/>
          </rPr>
          <t xml:space="preserve">
- Hội trường TTCT Huyện: 500
</t>
        </r>
        <r>
          <rPr>
            <sz val="12"/>
            <color indexed="81"/>
            <rFont val="Tahoma"/>
            <family val="2"/>
          </rPr>
          <t>- Nước: 20 x 115 người
- Tiền ăn: 
- Tài liệu: 1,3tr</t>
        </r>
      </text>
    </comment>
    <comment ref="E267" authorId="0" shapeId="0">
      <text>
        <r>
          <rPr>
            <b/>
            <sz val="9"/>
            <color indexed="81"/>
            <rFont val="Tahoma"/>
            <family val="2"/>
          </rPr>
          <t>Hoàng Liên:</t>
        </r>
        <r>
          <rPr>
            <sz val="9"/>
            <color indexed="81"/>
            <rFont val="Tahoma"/>
            <family val="2"/>
          </rPr>
          <t xml:space="preserve">
- Thuê xe
- Tiền ăn
- Nước uống
- </t>
        </r>
      </text>
    </comment>
    <comment ref="E269" authorId="0" shapeId="0">
      <text>
        <r>
          <rPr>
            <b/>
            <sz val="9"/>
            <color indexed="81"/>
            <rFont val="Tahoma"/>
            <family val="2"/>
          </rPr>
          <t>Hoàng Liên:</t>
        </r>
        <r>
          <rPr>
            <sz val="9"/>
            <color indexed="81"/>
            <rFont val="Tahoma"/>
            <family val="2"/>
          </rPr>
          <t xml:space="preserve">
07 người
- Thuê xe 7 chỗ
- Ăn, uống
- Bồi dưỡng</t>
        </r>
      </text>
    </comment>
    <comment ref="B273" authorId="0" shapeId="0">
      <text>
        <r>
          <rPr>
            <b/>
            <sz val="9"/>
            <color indexed="81"/>
            <rFont val="Tahoma"/>
            <family val="2"/>
          </rPr>
          <t>Hoàng Liên:</t>
        </r>
        <r>
          <rPr>
            <sz val="9"/>
            <color indexed="81"/>
            <rFont val="Tahoma"/>
            <family val="2"/>
          </rPr>
          <t xml:space="preserve">
587/QĐ-UBND ngày 20/06/2024</t>
        </r>
      </text>
    </comment>
    <comment ref="B275" authorId="0" shapeId="0">
      <text>
        <r>
          <rPr>
            <b/>
            <sz val="9"/>
            <color indexed="81"/>
            <rFont val="Tahoma"/>
            <family val="2"/>
          </rPr>
          <t>Hoàng Liên:</t>
        </r>
        <r>
          <rPr>
            <sz val="9"/>
            <color indexed="81"/>
            <rFont val="Tahoma"/>
            <family val="2"/>
          </rPr>
          <t xml:space="preserve">
429/QĐ-UBND ngày 15/05/2024</t>
        </r>
      </text>
    </comment>
    <comment ref="B278" authorId="0" shapeId="0">
      <text>
        <r>
          <rPr>
            <b/>
            <sz val="9"/>
            <color indexed="81"/>
            <rFont val="Tahoma"/>
            <family val="2"/>
          </rPr>
          <t>Hoàng Liên:</t>
        </r>
        <r>
          <rPr>
            <sz val="9"/>
            <color indexed="81"/>
            <rFont val="Tahoma"/>
            <family val="2"/>
          </rPr>
          <t xml:space="preserve">
694/QĐ-UBND ngày 25/7/2024</t>
        </r>
      </text>
    </comment>
    <comment ref="B279" authorId="0" shapeId="0">
      <text>
        <r>
          <rPr>
            <b/>
            <sz val="9"/>
            <color indexed="81"/>
            <rFont val="Tahoma"/>
            <family val="2"/>
          </rPr>
          <t>Hoàng Liên:</t>
        </r>
        <r>
          <rPr>
            <sz val="9"/>
            <color indexed="81"/>
            <rFont val="Tahoma"/>
            <family val="2"/>
          </rPr>
          <t xml:space="preserve">
656/QĐ-UBND ngày 15/7/2024</t>
        </r>
      </text>
    </comment>
    <comment ref="B281" authorId="0" shapeId="0">
      <text>
        <r>
          <rPr>
            <b/>
            <sz val="9"/>
            <color indexed="81"/>
            <rFont val="Tahoma"/>
            <family val="2"/>
          </rPr>
          <t>Hoàng Liên:</t>
        </r>
        <r>
          <rPr>
            <sz val="9"/>
            <color indexed="81"/>
            <rFont val="Tahoma"/>
            <family val="2"/>
          </rPr>
          <t xml:space="preserve">
Thuê xe 16 chỗ
Đi 13 người</t>
        </r>
      </text>
    </comment>
    <comment ref="B282" authorId="0" shapeId="0">
      <text>
        <r>
          <rPr>
            <b/>
            <sz val="9"/>
            <color indexed="81"/>
            <rFont val="Tahoma"/>
            <family val="2"/>
          </rPr>
          <t>Hoàng Liên:</t>
        </r>
        <r>
          <rPr>
            <sz val="9"/>
            <color indexed="81"/>
            <rFont val="Tahoma"/>
            <family val="2"/>
          </rPr>
          <t xml:space="preserve">
Xe 4 chỗ
03 người</t>
        </r>
      </text>
    </comment>
    <comment ref="B283" authorId="0" shapeId="0">
      <text>
        <r>
          <rPr>
            <b/>
            <sz val="9"/>
            <color indexed="81"/>
            <rFont val="Tahoma"/>
            <family val="2"/>
          </rPr>
          <t>Hoàng Liên:</t>
        </r>
        <r>
          <rPr>
            <sz val="9"/>
            <color indexed="81"/>
            <rFont val="Tahoma"/>
            <family val="2"/>
          </rPr>
          <t xml:space="preserve">
Xe 16 chỗ
13 người</t>
        </r>
      </text>
    </comment>
    <comment ref="B284" authorId="0" shapeId="0">
      <text>
        <r>
          <rPr>
            <b/>
            <sz val="9"/>
            <color indexed="81"/>
            <rFont val="Tahoma"/>
            <family val="2"/>
          </rPr>
          <t>Hoàng Liên:</t>
        </r>
        <r>
          <rPr>
            <sz val="9"/>
            <color indexed="81"/>
            <rFont val="Tahoma"/>
            <family val="2"/>
          </rPr>
          <t xml:space="preserve">
Xe 16 chỗ
13 người đi</t>
        </r>
      </text>
    </comment>
    <comment ref="B285" authorId="0" shapeId="0">
      <text>
        <r>
          <rPr>
            <b/>
            <sz val="9"/>
            <color indexed="81"/>
            <rFont val="Tahoma"/>
            <family val="2"/>
          </rPr>
          <t>Hoàng Liên:</t>
        </r>
        <r>
          <rPr>
            <sz val="9"/>
            <color indexed="81"/>
            <rFont val="Tahoma"/>
            <family val="2"/>
          </rPr>
          <t xml:space="preserve">
Xe 16 chỗ
14 người đi</t>
        </r>
      </text>
    </comment>
    <comment ref="B286" authorId="0" shapeId="0">
      <text>
        <r>
          <rPr>
            <b/>
            <sz val="9"/>
            <color indexed="81"/>
            <rFont val="Tahoma"/>
            <family val="2"/>
          </rPr>
          <t>Hoàng Liên:</t>
        </r>
        <r>
          <rPr>
            <sz val="9"/>
            <color indexed="81"/>
            <rFont val="Tahoma"/>
            <family val="2"/>
          </rPr>
          <t xml:space="preserve">
Xe 7 chỗ
6 người đi</t>
        </r>
      </text>
    </comment>
    <comment ref="B287" authorId="0" shapeId="0">
      <text>
        <r>
          <rPr>
            <b/>
            <sz val="9"/>
            <color indexed="81"/>
            <rFont val="Tahoma"/>
            <family val="2"/>
          </rPr>
          <t>Hoàng Liên:</t>
        </r>
        <r>
          <rPr>
            <sz val="9"/>
            <color indexed="81"/>
            <rFont val="Tahoma"/>
            <family val="2"/>
          </rPr>
          <t xml:space="preserve">
Xe 16 chỗ
13 người đi</t>
        </r>
      </text>
    </comment>
    <comment ref="B288" authorId="0" shapeId="0">
      <text>
        <r>
          <rPr>
            <b/>
            <sz val="9"/>
            <color indexed="81"/>
            <rFont val="Tahoma"/>
            <family val="2"/>
          </rPr>
          <t>Hoàng Liên:</t>
        </r>
        <r>
          <rPr>
            <sz val="9"/>
            <color indexed="81"/>
            <rFont val="Tahoma"/>
            <family val="2"/>
          </rPr>
          <t xml:space="preserve">
Xe 16 chỗ
15 người đi</t>
        </r>
      </text>
    </comment>
    <comment ref="B289" authorId="0" shapeId="0">
      <text>
        <r>
          <rPr>
            <b/>
            <sz val="9"/>
            <color indexed="81"/>
            <rFont val="Tahoma"/>
            <family val="2"/>
          </rPr>
          <t>Hoàng Liên:</t>
        </r>
        <r>
          <rPr>
            <sz val="9"/>
            <color indexed="81"/>
            <rFont val="Tahoma"/>
            <family val="2"/>
          </rPr>
          <t xml:space="preserve">
Xe 16 chỗ
13 người đi</t>
        </r>
      </text>
    </comment>
    <comment ref="B293" authorId="0" shapeId="0">
      <text>
        <r>
          <rPr>
            <b/>
            <sz val="9"/>
            <color indexed="81"/>
            <rFont val="Tahoma"/>
            <family val="2"/>
          </rPr>
          <t>Hoàng Liên:</t>
        </r>
        <r>
          <rPr>
            <sz val="9"/>
            <color indexed="81"/>
            <rFont val="Tahoma"/>
            <family val="2"/>
          </rPr>
          <t xml:space="preserve">
Tổ chức hàng năm</t>
        </r>
      </text>
    </comment>
    <comment ref="B298" authorId="0" shapeId="0">
      <text>
        <r>
          <rPr>
            <b/>
            <sz val="9"/>
            <color indexed="81"/>
            <rFont val="Tahoma"/>
            <family val="2"/>
          </rPr>
          <t>Hoàng Liên:</t>
        </r>
        <r>
          <rPr>
            <sz val="9"/>
            <color indexed="81"/>
            <rFont val="Tahoma"/>
            <family val="2"/>
          </rPr>
          <t xml:space="preserve">
NS Huyện: 292/QĐ-UBND ngày 28/03/2024</t>
        </r>
      </text>
    </comment>
    <comment ref="F309" authorId="0" shapeId="0">
      <text>
        <r>
          <rPr>
            <b/>
            <sz val="9"/>
            <color indexed="81"/>
            <rFont val="Tahoma"/>
            <family val="2"/>
          </rPr>
          <t>Hoàng Liên:</t>
        </r>
        <r>
          <rPr>
            <sz val="9"/>
            <color indexed="81"/>
            <rFont val="Tahoma"/>
            <family val="2"/>
          </rPr>
          <t xml:space="preserve">
Đã cấp cho các đơn vị</t>
        </r>
      </text>
    </comment>
    <comment ref="F310" authorId="0" shapeId="0">
      <text>
        <r>
          <rPr>
            <b/>
            <sz val="9"/>
            <color indexed="81"/>
            <rFont val="Tahoma"/>
            <family val="2"/>
          </rPr>
          <t>Hoàng Liên:</t>
        </r>
        <r>
          <rPr>
            <sz val="9"/>
            <color indexed="81"/>
            <rFont val="Tahoma"/>
            <family val="2"/>
          </rPr>
          <t xml:space="preserve">
Đã cấp cho các đơn vị</t>
        </r>
      </text>
    </comment>
    <comment ref="F316" authorId="0" shapeId="0">
      <text>
        <r>
          <rPr>
            <b/>
            <sz val="9"/>
            <color indexed="81"/>
            <rFont val="Tahoma"/>
            <family val="2"/>
          </rPr>
          <t>Hoàng Liên:</t>
        </r>
        <r>
          <rPr>
            <sz val="9"/>
            <color indexed="81"/>
            <rFont val="Tahoma"/>
            <family val="2"/>
          </rPr>
          <t xml:space="preserve">
498/QĐ-UBND ngày 04/06/2024</t>
        </r>
      </text>
    </comment>
    <comment ref="E318" authorId="0" shapeId="0">
      <text>
        <r>
          <rPr>
            <b/>
            <sz val="9"/>
            <color indexed="81"/>
            <rFont val="Tahoma"/>
            <family val="2"/>
          </rPr>
          <t>Hoàng Liên:</t>
        </r>
        <r>
          <rPr>
            <sz val="9"/>
            <color indexed="81"/>
            <rFont val="Tahoma"/>
            <family val="2"/>
          </rPr>
          <t xml:space="preserve">
- Hoạt động mở lớp: 882,678tr
- Phục vụ lớp học: 113,5tr</t>
        </r>
      </text>
    </comment>
    <comment ref="G320" authorId="0" shapeId="0">
      <text>
        <r>
          <rPr>
            <b/>
            <sz val="9"/>
            <color indexed="81"/>
            <rFont val="Tahoma"/>
            <family val="2"/>
          </rPr>
          <t>Hoàng Liên:</t>
        </r>
        <r>
          <rPr>
            <sz val="9"/>
            <color indexed="81"/>
            <rFont val="Tahoma"/>
            <family val="2"/>
          </rPr>
          <t xml:space="preserve">
5.643.566</t>
        </r>
      </text>
    </comment>
    <comment ref="E322" authorId="0" shapeId="0">
      <text>
        <r>
          <rPr>
            <b/>
            <sz val="9"/>
            <color indexed="81"/>
            <rFont val="Tahoma"/>
            <family val="2"/>
          </rPr>
          <t>Hoàng Liên:</t>
        </r>
        <r>
          <rPr>
            <sz val="9"/>
            <color indexed="81"/>
            <rFont val="Tahoma"/>
            <family val="2"/>
          </rPr>
          <t xml:space="preserve">
Bao gồm 01 số môn ĐH cấp huyện, tỉnh</t>
        </r>
      </text>
    </comment>
    <comment ref="E325" authorId="0" shapeId="0">
      <text>
        <r>
          <rPr>
            <b/>
            <sz val="9"/>
            <color indexed="81"/>
            <rFont val="Tahoma"/>
            <family val="2"/>
          </rPr>
          <t>Hoàng Liên:</t>
        </r>
        <r>
          <rPr>
            <sz val="9"/>
            <color indexed="81"/>
            <rFont val="Tahoma"/>
            <family val="2"/>
          </rPr>
          <t xml:space="preserve">
- </t>
        </r>
        <r>
          <rPr>
            <sz val="12"/>
            <color indexed="81"/>
            <rFont val="Tahoma"/>
            <family val="2"/>
          </rPr>
          <t xml:space="preserve">DT giao 16 phim x 6tr/phim
- TT.VH-TT&amp;TT trình P.VH&amp;TT và UBND Huyện phê duyệt 32 phim:
</t>
        </r>
        <r>
          <rPr>
            <i/>
            <sz val="12"/>
            <color indexed="81"/>
            <rFont val="Tahoma"/>
            <family val="2"/>
          </rPr>
          <t xml:space="preserve">   + Huyện ủy: 05 phim
   + VP. UBND Huyện: 06 phim
   + P. LĐ-TBXH: 01 phim
   + Hội ND Huyện: 03 phim
   + CA Huyện: 02 phim
   + BCH. Quân sự: 06 phim
   + UB.MTTQ.VN: 02 phim
   + Đoàn TN.CS.HCM: 01 phim
   + UBND xã TNĐ: 03 phim
   + UBND xã TB: 01 phim
   + UBND TT.CTH: 01 phim
   + UBND xã AN: 01 phim</t>
        </r>
      </text>
    </comment>
    <comment ref="B337" authorId="0" shapeId="0">
      <text>
        <r>
          <rPr>
            <b/>
            <sz val="9"/>
            <color indexed="81"/>
            <rFont val="Tahoma"/>
            <family val="2"/>
          </rPr>
          <t>Hoàng Liên:</t>
        </r>
        <r>
          <rPr>
            <sz val="9"/>
            <color indexed="81"/>
            <rFont val="Tahoma"/>
            <family val="2"/>
          </rPr>
          <t xml:space="preserve">
587/QĐ-UBND ngày 20/06/2024</t>
        </r>
      </text>
    </comment>
    <comment ref="B338" authorId="0" shapeId="0">
      <text>
        <r>
          <rPr>
            <b/>
            <sz val="9"/>
            <color indexed="81"/>
            <rFont val="Tahoma"/>
            <family val="2"/>
          </rPr>
          <t>Hoàng Liên:</t>
        </r>
        <r>
          <rPr>
            <sz val="9"/>
            <color indexed="81"/>
            <rFont val="Tahoma"/>
            <family val="2"/>
          </rPr>
          <t xml:space="preserve">
1064/QĐ-UBND ngày 29/12/2023</t>
        </r>
      </text>
    </comment>
    <comment ref="B339" authorId="0" shapeId="0">
      <text>
        <r>
          <rPr>
            <b/>
            <sz val="9"/>
            <color indexed="81"/>
            <rFont val="Tahoma"/>
            <family val="2"/>
          </rPr>
          <t>Hoàng Liên:</t>
        </r>
        <r>
          <rPr>
            <sz val="9"/>
            <color indexed="81"/>
            <rFont val="Tahoma"/>
            <family val="2"/>
          </rPr>
          <t xml:space="preserve">
347/QĐ-UBND ngày 15/04/2024</t>
        </r>
      </text>
    </comment>
    <comment ref="B340" authorId="0" shapeId="0">
      <text>
        <r>
          <rPr>
            <b/>
            <sz val="9"/>
            <color indexed="81"/>
            <rFont val="Tahoma"/>
            <family val="2"/>
          </rPr>
          <t>Hoàng Liên:</t>
        </r>
        <r>
          <rPr>
            <sz val="9"/>
            <color indexed="81"/>
            <rFont val="Tahoma"/>
            <family val="2"/>
          </rPr>
          <t xml:space="preserve">
523/QĐ-UBND ngày 04/6/2024</t>
        </r>
      </text>
    </comment>
    <comment ref="B341" authorId="0" shapeId="0">
      <text>
        <r>
          <rPr>
            <b/>
            <sz val="9"/>
            <color indexed="81"/>
            <rFont val="Tahoma"/>
            <family val="2"/>
          </rPr>
          <t>Hoàng Liên:</t>
        </r>
        <r>
          <rPr>
            <sz val="9"/>
            <color indexed="81"/>
            <rFont val="Tahoma"/>
            <family val="2"/>
          </rPr>
          <t xml:space="preserve">
565/QĐ-UBND ngày 12/6/2024</t>
        </r>
      </text>
    </comment>
    <comment ref="B343" authorId="0" shapeId="0">
      <text>
        <r>
          <rPr>
            <b/>
            <sz val="9"/>
            <color indexed="81"/>
            <rFont val="Tahoma"/>
            <family val="2"/>
          </rPr>
          <t>Hoàng Liên:</t>
        </r>
        <r>
          <rPr>
            <sz val="9"/>
            <color indexed="81"/>
            <rFont val="Tahoma"/>
            <family val="2"/>
          </rPr>
          <t xml:space="preserve">
710/QĐ-UBND ngày 02/8/2024</t>
        </r>
      </text>
    </comment>
    <comment ref="B344" authorId="0" shapeId="0">
      <text>
        <r>
          <rPr>
            <b/>
            <sz val="9"/>
            <color indexed="81"/>
            <rFont val="Tahoma"/>
            <family val="2"/>
          </rPr>
          <t>Hoàng Liên:</t>
        </r>
        <r>
          <rPr>
            <sz val="9"/>
            <color indexed="81"/>
            <rFont val="Tahoma"/>
            <family val="2"/>
          </rPr>
          <t xml:space="preserve">
656/QĐ-UBND ngày 15/7/2024</t>
        </r>
      </text>
    </comment>
    <comment ref="E347" authorId="0" shapeId="0">
      <text>
        <r>
          <rPr>
            <b/>
            <sz val="9"/>
            <color indexed="81"/>
            <rFont val="Tahoma"/>
            <family val="2"/>
          </rPr>
          <t>Hoàng Liên:</t>
        </r>
        <r>
          <rPr>
            <sz val="9"/>
            <color indexed="81"/>
            <rFont val="Tahoma"/>
            <family val="2"/>
          </rPr>
          <t xml:space="preserve">
Năm 2020: 4 Laptop, 5 máy bàn
Năm 2022: 3 máy bàn
Năm 2024: 3 máy bàn</t>
        </r>
      </text>
    </comment>
    <comment ref="E348" authorId="0" shapeId="0">
      <text>
        <r>
          <rPr>
            <b/>
            <sz val="9"/>
            <color indexed="81"/>
            <rFont val="Tahoma"/>
            <family val="2"/>
          </rPr>
          <t>Hoàng Liên:</t>
        </r>
        <r>
          <rPr>
            <sz val="9"/>
            <color indexed="81"/>
            <rFont val="Tahoma"/>
            <family val="2"/>
          </rPr>
          <t xml:space="preserve">
phục vụ các lớp tập huấn mô hình</t>
        </r>
      </text>
    </comment>
    <comment ref="B350" authorId="0" shapeId="0">
      <text>
        <r>
          <rPr>
            <b/>
            <sz val="9"/>
            <color indexed="81"/>
            <rFont val="Tahoma"/>
            <family val="2"/>
          </rPr>
          <t>Hoàng Liên:</t>
        </r>
        <r>
          <rPr>
            <sz val="9"/>
            <color indexed="81"/>
            <rFont val="Tahoma"/>
            <family val="2"/>
          </rPr>
          <t xml:space="preserve">
DP NS: 412/QĐ-UBND ngày 06/4/2024</t>
        </r>
      </text>
    </comment>
    <comment ref="B351" authorId="0" shapeId="0">
      <text>
        <r>
          <rPr>
            <b/>
            <sz val="9"/>
            <color indexed="81"/>
            <rFont val="Tahoma"/>
            <family val="2"/>
          </rPr>
          <t>Hoàng Liên:</t>
        </r>
        <r>
          <rPr>
            <sz val="9"/>
            <color indexed="81"/>
            <rFont val="Tahoma"/>
            <family val="2"/>
          </rPr>
          <t xml:space="preserve">
360/QĐ-UBND ngày 16/4/2024</t>
        </r>
      </text>
    </comment>
    <comment ref="B355" authorId="0" shapeId="0">
      <text>
        <r>
          <rPr>
            <b/>
            <sz val="9"/>
            <color indexed="81"/>
            <rFont val="Tahoma"/>
            <family val="2"/>
          </rPr>
          <t>Hoàng Liên:</t>
        </r>
        <r>
          <rPr>
            <sz val="9"/>
            <color indexed="81"/>
            <rFont val="Tahoma"/>
            <family val="2"/>
          </rPr>
          <t xml:space="preserve">
202/QĐ-UBND ngày 08/3/2024</t>
        </r>
      </text>
    </comment>
    <comment ref="B357" authorId="0" shapeId="0">
      <text>
        <r>
          <rPr>
            <b/>
            <sz val="9"/>
            <color indexed="81"/>
            <rFont val="Tahoma"/>
            <family val="2"/>
          </rPr>
          <t>Hoàng Liên:</t>
        </r>
        <r>
          <rPr>
            <sz val="9"/>
            <color indexed="81"/>
            <rFont val="Tahoma"/>
            <family val="2"/>
          </rPr>
          <t xml:space="preserve">
656/QĐ-UBND ngày 15/7/2024</t>
        </r>
      </text>
    </comment>
    <comment ref="G358" authorId="0" shapeId="0">
      <text>
        <r>
          <rPr>
            <b/>
            <sz val="9"/>
            <color indexed="81"/>
            <rFont val="Tahoma"/>
            <family val="2"/>
          </rPr>
          <t>Hoàng Liên:</t>
        </r>
        <r>
          <rPr>
            <sz val="9"/>
            <color indexed="81"/>
            <rFont val="Tahoma"/>
            <family val="2"/>
          </rPr>
          <t xml:space="preserve">
Số Tabmis: 9.633.400</t>
        </r>
      </text>
    </comment>
    <comment ref="B359" authorId="0" shapeId="0">
      <text>
        <r>
          <rPr>
            <b/>
            <sz val="9"/>
            <color indexed="81"/>
            <rFont val="Tahoma"/>
            <family val="2"/>
          </rPr>
          <t>Hoàng Liên:</t>
        </r>
        <r>
          <rPr>
            <sz val="9"/>
            <color indexed="81"/>
            <rFont val="Tahoma"/>
            <family val="2"/>
          </rPr>
          <t xml:space="preserve">
1019/QĐ-UBND ngày 28/12/2023</t>
        </r>
      </text>
    </comment>
    <comment ref="B360" authorId="0" shapeId="0">
      <text>
        <r>
          <rPr>
            <b/>
            <sz val="9"/>
            <color indexed="81"/>
            <rFont val="Tahoma"/>
            <family val="2"/>
          </rPr>
          <t>Hoàng Liên:</t>
        </r>
        <r>
          <rPr>
            <sz val="9"/>
            <color indexed="81"/>
            <rFont val="Tahoma"/>
            <family val="2"/>
          </rPr>
          <t xml:space="preserve">
1020/QĐ-UBND ngày 28/12/2023</t>
        </r>
      </text>
    </comment>
    <comment ref="B361" authorId="0" shapeId="0">
      <text>
        <r>
          <rPr>
            <b/>
            <sz val="9"/>
            <color indexed="81"/>
            <rFont val="Tahoma"/>
            <family val="2"/>
          </rPr>
          <t>Hoàng Liên:</t>
        </r>
        <r>
          <rPr>
            <sz val="9"/>
            <color indexed="81"/>
            <rFont val="Tahoma"/>
            <family val="2"/>
          </rPr>
          <t xml:space="preserve">
1025/QĐ-UBND ngày 29/12/2023</t>
        </r>
      </text>
    </comment>
    <comment ref="B362" authorId="0" shapeId="0">
      <text>
        <r>
          <rPr>
            <b/>
            <sz val="9"/>
            <color indexed="81"/>
            <rFont val="Tahoma"/>
            <family val="2"/>
          </rPr>
          <t>Hoàng Liên:</t>
        </r>
        <r>
          <rPr>
            <sz val="9"/>
            <color indexed="81"/>
            <rFont val="Tahoma"/>
            <family val="2"/>
          </rPr>
          <t xml:space="preserve">
170/QĐ-UBND ngày 04/03/2024</t>
        </r>
      </text>
    </comment>
    <comment ref="B363" authorId="0" shapeId="0">
      <text>
        <r>
          <rPr>
            <b/>
            <sz val="9"/>
            <color indexed="81"/>
            <rFont val="Tahoma"/>
            <family val="2"/>
          </rPr>
          <t>Hoàng Liên:</t>
        </r>
        <r>
          <rPr>
            <sz val="9"/>
            <color indexed="81"/>
            <rFont val="Tahoma"/>
            <family val="2"/>
          </rPr>
          <t xml:space="preserve">
264/QĐ-UBND ngày 19/03/2024</t>
        </r>
      </text>
    </comment>
    <comment ref="B364" authorId="0" shapeId="0">
      <text>
        <r>
          <rPr>
            <b/>
            <sz val="9"/>
            <color indexed="81"/>
            <rFont val="Tahoma"/>
            <family val="2"/>
          </rPr>
          <t>Hoàng Liên:</t>
        </r>
        <r>
          <rPr>
            <sz val="9"/>
            <color indexed="81"/>
            <rFont val="Tahoma"/>
            <family val="2"/>
          </rPr>
          <t xml:space="preserve">
97/QĐ-UBND ngày 31/01/2024</t>
        </r>
      </text>
    </comment>
    <comment ref="B365" authorId="0" shapeId="0">
      <text>
        <r>
          <rPr>
            <b/>
            <sz val="9"/>
            <color indexed="81"/>
            <rFont val="Tahoma"/>
            <family val="2"/>
          </rPr>
          <t>Hoàng Liên:</t>
        </r>
        <r>
          <rPr>
            <sz val="9"/>
            <color indexed="81"/>
            <rFont val="Tahoma"/>
            <family val="2"/>
          </rPr>
          <t xml:space="preserve">
691/QĐ-UBND ngày 25/7/2024</t>
        </r>
      </text>
    </comment>
    <comment ref="B366" authorId="0" shapeId="0">
      <text>
        <r>
          <rPr>
            <b/>
            <sz val="9"/>
            <color indexed="81"/>
            <rFont val="Tahoma"/>
            <family val="2"/>
          </rPr>
          <t>Hoàng Liên:</t>
        </r>
        <r>
          <rPr>
            <sz val="9"/>
            <color indexed="81"/>
            <rFont val="Tahoma"/>
            <family val="2"/>
          </rPr>
          <t xml:space="preserve">
737/QĐ-UBND ngày 12/8/2024 </t>
        </r>
      </text>
    </comment>
    <comment ref="B368" authorId="0" shapeId="0">
      <text>
        <r>
          <rPr>
            <b/>
            <sz val="9"/>
            <color indexed="81"/>
            <rFont val="Tahoma"/>
            <family val="2"/>
          </rPr>
          <t>Hoàng Liên:</t>
        </r>
        <r>
          <rPr>
            <sz val="9"/>
            <color indexed="81"/>
            <rFont val="Tahoma"/>
            <family val="2"/>
          </rPr>
          <t xml:space="preserve">
621/QĐ-UBND ngày 02/7/2024</t>
        </r>
      </text>
    </comment>
    <comment ref="E371" authorId="0" shapeId="0">
      <text>
        <r>
          <rPr>
            <b/>
            <sz val="9"/>
            <color indexed="81"/>
            <rFont val="Tahoma"/>
            <family val="2"/>
          </rPr>
          <t>Hoàng Liên:</t>
        </r>
        <r>
          <rPr>
            <sz val="9"/>
            <color indexed="81"/>
            <rFont val="Tahoma"/>
            <family val="2"/>
          </rPr>
          <t xml:space="preserve">
Chỉ tiêu năm 2024: 1.100</t>
        </r>
      </text>
    </comment>
    <comment ref="E374" authorId="0" shapeId="0">
      <text>
        <r>
          <rPr>
            <b/>
            <sz val="9"/>
            <color indexed="81"/>
            <rFont val="Tahoma"/>
            <family val="2"/>
          </rPr>
          <t>Hoàng Liên:</t>
        </r>
        <r>
          <rPr>
            <sz val="9"/>
            <color indexed="81"/>
            <rFont val="Tahoma"/>
            <family val="2"/>
          </rPr>
          <t xml:space="preserve">
thuê 5 chuyến xe tải x 2tr/chuyến</t>
        </r>
      </text>
    </comment>
    <comment ref="B379" authorId="0" shapeId="0">
      <text>
        <r>
          <rPr>
            <b/>
            <sz val="9"/>
            <color indexed="81"/>
            <rFont val="Tahoma"/>
            <family val="2"/>
          </rPr>
          <t>Hoàng Liên:</t>
        </r>
        <r>
          <rPr>
            <sz val="9"/>
            <color indexed="81"/>
            <rFont val="Tahoma"/>
            <family val="2"/>
          </rPr>
          <t xml:space="preserve">
81/QĐ-UBND ngày 25/01/2024</t>
        </r>
      </text>
    </comment>
    <comment ref="B381" authorId="0" shapeId="0">
      <text>
        <r>
          <rPr>
            <b/>
            <sz val="9"/>
            <color indexed="81"/>
            <rFont val="Tahoma"/>
            <family val="2"/>
          </rPr>
          <t>Hoàng Liên:</t>
        </r>
        <r>
          <rPr>
            <sz val="9"/>
            <color indexed="81"/>
            <rFont val="Tahoma"/>
            <family val="2"/>
          </rPr>
          <t xml:space="preserve">
NS Huyện: 389/QĐ-UBND ngày 23/04/2024</t>
        </r>
      </text>
    </comment>
    <comment ref="B386" authorId="0" shapeId="0">
      <text>
        <r>
          <rPr>
            <b/>
            <sz val="9"/>
            <color indexed="81"/>
            <rFont val="Tahoma"/>
            <family val="2"/>
          </rPr>
          <t>Hoàng Liên:</t>
        </r>
        <r>
          <rPr>
            <sz val="9"/>
            <color indexed="81"/>
            <rFont val="Tahoma"/>
            <family val="2"/>
          </rPr>
          <t xml:space="preserve">
747/QĐ-UBND ngày 19/08/2024</t>
        </r>
      </text>
    </comment>
    <comment ref="B387" authorId="0" shapeId="0">
      <text>
        <r>
          <rPr>
            <b/>
            <sz val="9"/>
            <color indexed="81"/>
            <rFont val="Tahoma"/>
            <family val="2"/>
          </rPr>
          <t>Hoàng Liên:</t>
        </r>
        <r>
          <rPr>
            <sz val="9"/>
            <color indexed="81"/>
            <rFont val="Tahoma"/>
            <family val="2"/>
          </rPr>
          <t xml:space="preserve">
NS Huyện: 398/QĐ-UBND ngày 25/04/2024</t>
        </r>
      </text>
    </comment>
    <comment ref="B390" authorId="0" shapeId="0">
      <text>
        <r>
          <rPr>
            <b/>
            <sz val="9"/>
            <color indexed="81"/>
            <rFont val="Tahoma"/>
            <family val="2"/>
          </rPr>
          <t>Hoàng Liên:</t>
        </r>
        <r>
          <rPr>
            <sz val="9"/>
            <color indexed="81"/>
            <rFont val="Tahoma"/>
            <family val="2"/>
          </rPr>
          <t xml:space="preserve">
651/QĐ-UBND ngày 12/07/2024</t>
        </r>
      </text>
    </comment>
    <comment ref="B393" authorId="0" shapeId="0">
      <text>
        <r>
          <rPr>
            <b/>
            <sz val="9"/>
            <color indexed="81"/>
            <rFont val="Tahoma"/>
            <family val="2"/>
          </rPr>
          <t>Hoàng Liên:</t>
        </r>
        <r>
          <rPr>
            <sz val="9"/>
            <color indexed="81"/>
            <rFont val="Tahoma"/>
            <family val="2"/>
          </rPr>
          <t xml:space="preserve">
Sử dụng 3 năm 2024-2026</t>
        </r>
      </text>
    </comment>
    <comment ref="B394" authorId="0" shapeId="0">
      <text>
        <r>
          <rPr>
            <b/>
            <sz val="9"/>
            <color indexed="81"/>
            <rFont val="Tahoma"/>
            <family val="2"/>
          </rPr>
          <t>Hoàng Liên:</t>
        </r>
        <r>
          <rPr>
            <sz val="9"/>
            <color indexed="81"/>
            <rFont val="Tahoma"/>
            <family val="2"/>
          </rPr>
          <t xml:space="preserve">
550-TB/VPHU ngày 04/7/2023 của VP.Huyện ủy
Biên bản ngày 23/6/2023 của Đảng ủy quân sự</t>
        </r>
      </text>
    </comment>
    <comment ref="B396" authorId="0" shapeId="0">
      <text>
        <r>
          <rPr>
            <b/>
            <sz val="9"/>
            <color indexed="81"/>
            <rFont val="Tahoma"/>
            <family val="2"/>
          </rPr>
          <t>Hoàng Liên:</t>
        </r>
        <r>
          <rPr>
            <sz val="9"/>
            <color indexed="81"/>
            <rFont val="Tahoma"/>
            <family val="2"/>
          </rPr>
          <t xml:space="preserve">
NS Tỉnh BS mục tiêu đầu năm</t>
        </r>
      </text>
    </comment>
    <comment ref="B399" authorId="0" shapeId="0">
      <text>
        <r>
          <rPr>
            <b/>
            <sz val="9"/>
            <color indexed="81"/>
            <rFont val="Tahoma"/>
            <family val="2"/>
          </rPr>
          <t>Hoàng Liên:</t>
        </r>
        <r>
          <rPr>
            <sz val="9"/>
            <color indexed="81"/>
            <rFont val="Tahoma"/>
            <family val="2"/>
          </rPr>
          <t xml:space="preserve">
751/QĐ-UBND ngày 20/8/2024</t>
        </r>
      </text>
    </comment>
    <comment ref="B400" authorId="0" shapeId="0">
      <text>
        <r>
          <rPr>
            <b/>
            <sz val="9"/>
            <color indexed="81"/>
            <rFont val="Tahoma"/>
            <family val="2"/>
          </rPr>
          <t>Hoàng Liên:</t>
        </r>
        <r>
          <rPr>
            <sz val="9"/>
            <color indexed="81"/>
            <rFont val="Tahoma"/>
            <family val="2"/>
          </rPr>
          <t xml:space="preserve">
523/QĐ-UBND ngày 04/6/2024</t>
        </r>
      </text>
    </comment>
    <comment ref="B401" authorId="0" shapeId="0">
      <text>
        <r>
          <rPr>
            <b/>
            <sz val="9"/>
            <color indexed="81"/>
            <rFont val="Tahoma"/>
            <family val="2"/>
          </rPr>
          <t>Hoàng Liên:</t>
        </r>
        <r>
          <rPr>
            <sz val="9"/>
            <color indexed="81"/>
            <rFont val="Tahoma"/>
            <family val="2"/>
          </rPr>
          <t xml:space="preserve">
590/QĐ-UBND ngày 24/6/2024</t>
        </r>
      </text>
    </comment>
    <comment ref="G402" authorId="0" shapeId="0">
      <text>
        <r>
          <rPr>
            <b/>
            <sz val="9"/>
            <color indexed="81"/>
            <rFont val="Tahoma"/>
            <family val="2"/>
          </rPr>
          <t>Hoàng Liên:</t>
        </r>
        <r>
          <rPr>
            <sz val="9"/>
            <color indexed="81"/>
            <rFont val="Tahoma"/>
            <family val="2"/>
          </rPr>
          <t xml:space="preserve">
Số tabmis: 863tr</t>
        </r>
      </text>
    </comment>
    <comment ref="E403" authorId="0" shapeId="0">
      <text>
        <r>
          <rPr>
            <b/>
            <sz val="9"/>
            <color indexed="81"/>
            <rFont val="Tahoma"/>
            <family val="2"/>
          </rPr>
          <t>Hoàng Liên:</t>
        </r>
        <r>
          <rPr>
            <sz val="9"/>
            <color indexed="81"/>
            <rFont val="Tahoma"/>
            <family val="2"/>
          </rPr>
          <t xml:space="preserve">
</t>
        </r>
        <r>
          <rPr>
            <sz val="12"/>
            <color indexed="81"/>
            <rFont val="Tahoma"/>
            <family val="2"/>
          </rPr>
          <t>50 người x 10 ngày x 50.000đ/ngày</t>
        </r>
      </text>
    </comment>
    <comment ref="B407" authorId="0" shapeId="0">
      <text>
        <r>
          <rPr>
            <b/>
            <sz val="9"/>
            <color indexed="81"/>
            <rFont val="Tahoma"/>
            <family val="2"/>
          </rPr>
          <t>Hoàng Liên:</t>
        </r>
        <r>
          <rPr>
            <sz val="9"/>
            <color indexed="81"/>
            <rFont val="Tahoma"/>
            <family val="2"/>
          </rPr>
          <t xml:space="preserve">
NS Tỉnh BS mục tiêu đầu năm</t>
        </r>
      </text>
    </comment>
    <comment ref="B411" authorId="0" shapeId="0">
      <text>
        <r>
          <rPr>
            <b/>
            <sz val="9"/>
            <color indexed="81"/>
            <rFont val="Tahoma"/>
            <family val="2"/>
          </rPr>
          <t>Hoàng Liên:</t>
        </r>
        <r>
          <rPr>
            <sz val="9"/>
            <color indexed="81"/>
            <rFont val="Tahoma"/>
            <family val="2"/>
          </rPr>
          <t xml:space="preserve">
523/QĐ-UBND ngày 04/6/2024</t>
        </r>
      </text>
    </comment>
    <comment ref="B412" authorId="0" shapeId="0">
      <text>
        <r>
          <rPr>
            <b/>
            <sz val="9"/>
            <color indexed="81"/>
            <rFont val="Tahoma"/>
            <family val="2"/>
          </rPr>
          <t>Hoàng Liên:</t>
        </r>
        <r>
          <rPr>
            <sz val="9"/>
            <color indexed="81"/>
            <rFont val="Tahoma"/>
            <family val="2"/>
          </rPr>
          <t xml:space="preserve">
NS Huyện: 371/QĐ-UBND ngày 17/04/2024</t>
        </r>
      </text>
    </comment>
    <comment ref="B422" authorId="0" shapeId="0">
      <text>
        <r>
          <rPr>
            <b/>
            <sz val="9"/>
            <color indexed="81"/>
            <rFont val="Tahoma"/>
            <family val="2"/>
          </rPr>
          <t>Hoàng Liên:</t>
        </r>
        <r>
          <rPr>
            <sz val="9"/>
            <color indexed="81"/>
            <rFont val="Tahoma"/>
            <family val="2"/>
          </rPr>
          <t xml:space="preserve">
05/QĐ-UBND ngày 03/01/2024
628/QĐ/UBND ngày 08/7/2024</t>
        </r>
      </text>
    </comment>
  </commentList>
</comments>
</file>

<file path=xl/comments4.xml><?xml version="1.0" encoding="utf-8"?>
<comments xmlns="http://schemas.openxmlformats.org/spreadsheetml/2006/main">
  <authors>
    <author>Hoàng Liên</author>
  </authors>
  <commentList>
    <comment ref="B8" authorId="0" shapeId="0">
      <text>
        <r>
          <rPr>
            <b/>
            <sz val="9"/>
            <color indexed="81"/>
            <rFont val="Tahoma"/>
            <family val="2"/>
          </rPr>
          <t>Hoàng Liên:</t>
        </r>
        <r>
          <rPr>
            <sz val="9"/>
            <color indexed="81"/>
            <rFont val="Tahoma"/>
            <family val="2"/>
          </rPr>
          <t xml:space="preserve">
555/QĐ-UBND ngày 06/06/2024</t>
        </r>
      </text>
    </comment>
    <comment ref="B13" authorId="0" shapeId="0">
      <text>
        <r>
          <rPr>
            <b/>
            <sz val="9"/>
            <color indexed="81"/>
            <rFont val="Tahoma"/>
            <family val="2"/>
          </rPr>
          <t>Hoàng Liên:</t>
        </r>
        <r>
          <rPr>
            <sz val="9"/>
            <color indexed="81"/>
            <rFont val="Tahoma"/>
            <family val="2"/>
          </rPr>
          <t xml:space="preserve">
473/QĐ-UBND ngày 24/05/2024</t>
        </r>
      </text>
    </comment>
    <comment ref="B14" authorId="0" shapeId="0">
      <text>
        <r>
          <rPr>
            <b/>
            <sz val="9"/>
            <color indexed="81"/>
            <rFont val="Tahoma"/>
            <family val="2"/>
          </rPr>
          <t>Hoàng Liên:</t>
        </r>
        <r>
          <rPr>
            <sz val="9"/>
            <color indexed="81"/>
            <rFont val="Tahoma"/>
            <family val="2"/>
          </rPr>
          <t xml:space="preserve">
555/QĐ-UBND ngày 06/06/2024</t>
        </r>
      </text>
    </comment>
    <comment ref="B18" authorId="0" shapeId="0">
      <text>
        <r>
          <rPr>
            <b/>
            <sz val="9"/>
            <color indexed="81"/>
            <rFont val="Tahoma"/>
            <family val="2"/>
          </rPr>
          <t>Hoàng Liên:</t>
        </r>
        <r>
          <rPr>
            <sz val="9"/>
            <color indexed="81"/>
            <rFont val="Tahoma"/>
            <family val="2"/>
          </rPr>
          <t xml:space="preserve">
555/QĐ-UBND ngày 06/06/2024</t>
        </r>
      </text>
    </comment>
    <comment ref="B22" authorId="0" shapeId="0">
      <text>
        <r>
          <rPr>
            <b/>
            <sz val="9"/>
            <color indexed="81"/>
            <rFont val="Tahoma"/>
            <family val="2"/>
          </rPr>
          <t>Hoàng Liên:</t>
        </r>
        <r>
          <rPr>
            <sz val="9"/>
            <color indexed="81"/>
            <rFont val="Tahoma"/>
            <family val="2"/>
          </rPr>
          <t xml:space="preserve">
555/QĐ-UBND ngày 06/06/2024</t>
        </r>
      </text>
    </comment>
    <comment ref="B26" authorId="0" shapeId="0">
      <text>
        <r>
          <rPr>
            <b/>
            <sz val="9"/>
            <color indexed="81"/>
            <rFont val="Tahoma"/>
            <family val="2"/>
          </rPr>
          <t>Hoàng Liên:</t>
        </r>
        <r>
          <rPr>
            <sz val="9"/>
            <color indexed="81"/>
            <rFont val="Tahoma"/>
            <family val="2"/>
          </rPr>
          <t xml:space="preserve">
281/QĐ-UBND ngày 26/03/2024</t>
        </r>
      </text>
    </comment>
    <comment ref="B29" authorId="0" shapeId="0">
      <text>
        <r>
          <rPr>
            <b/>
            <sz val="9"/>
            <color indexed="81"/>
            <rFont val="Tahoma"/>
            <family val="2"/>
          </rPr>
          <t>Hoàng Liên:</t>
        </r>
        <r>
          <rPr>
            <sz val="9"/>
            <color indexed="81"/>
            <rFont val="Tahoma"/>
            <family val="2"/>
          </rPr>
          <t xml:space="preserve">
555/QĐ-UBND ngày 06/06/2024</t>
        </r>
      </text>
    </comment>
    <comment ref="B32" authorId="0" shapeId="0">
      <text>
        <r>
          <rPr>
            <b/>
            <sz val="9"/>
            <color indexed="81"/>
            <rFont val="Tahoma"/>
            <family val="2"/>
          </rPr>
          <t>Hoàng Liên:</t>
        </r>
        <r>
          <rPr>
            <sz val="9"/>
            <color indexed="81"/>
            <rFont val="Tahoma"/>
            <family val="2"/>
          </rPr>
          <t xml:space="preserve">
564/QĐ-UBND ngày 12/6/2024</t>
        </r>
      </text>
    </comment>
    <comment ref="B33" authorId="0" shapeId="0">
      <text>
        <r>
          <rPr>
            <b/>
            <sz val="9"/>
            <color indexed="81"/>
            <rFont val="Tahoma"/>
            <family val="2"/>
          </rPr>
          <t>Hoàng Liên:</t>
        </r>
        <r>
          <rPr>
            <sz val="9"/>
            <color indexed="81"/>
            <rFont val="Tahoma"/>
            <family val="2"/>
          </rPr>
          <t xml:space="preserve">
555/QĐ-UBND ngày 06/06/2024</t>
        </r>
      </text>
    </comment>
    <comment ref="B37" authorId="0" shapeId="0">
      <text>
        <r>
          <rPr>
            <b/>
            <sz val="9"/>
            <color indexed="81"/>
            <rFont val="Tahoma"/>
            <family val="2"/>
          </rPr>
          <t>Hoàng Liên:</t>
        </r>
        <r>
          <rPr>
            <sz val="9"/>
            <color indexed="81"/>
            <rFont val="Tahoma"/>
            <family val="2"/>
          </rPr>
          <t xml:space="preserve">
555/QĐ-UBND ngày 06/06/2024</t>
        </r>
      </text>
    </comment>
    <comment ref="B41" authorId="0" shapeId="0">
      <text>
        <r>
          <rPr>
            <b/>
            <sz val="9"/>
            <color indexed="81"/>
            <rFont val="Tahoma"/>
            <family val="2"/>
          </rPr>
          <t>Hoàng Liên:</t>
        </r>
        <r>
          <rPr>
            <sz val="9"/>
            <color indexed="81"/>
            <rFont val="Tahoma"/>
            <family val="2"/>
          </rPr>
          <t xml:space="preserve">
555/QĐ-UBND ngày 06/06/2024</t>
        </r>
      </text>
    </comment>
    <comment ref="B49" authorId="0" shapeId="0">
      <text>
        <r>
          <rPr>
            <b/>
            <sz val="9"/>
            <color indexed="81"/>
            <rFont val="Tahoma"/>
            <family val="2"/>
          </rPr>
          <t>Hoàng Liên:</t>
        </r>
        <r>
          <rPr>
            <sz val="9"/>
            <color indexed="81"/>
            <rFont val="Tahoma"/>
            <family val="2"/>
          </rPr>
          <t xml:space="preserve">
113/QĐ-UBND ngày 05/02/2024</t>
        </r>
      </text>
    </comment>
    <comment ref="B50" authorId="0" shapeId="0">
      <text>
        <r>
          <rPr>
            <b/>
            <sz val="9"/>
            <color indexed="81"/>
            <rFont val="Tahoma"/>
            <family val="2"/>
          </rPr>
          <t>Hoàng Liên:</t>
        </r>
        <r>
          <rPr>
            <sz val="9"/>
            <color indexed="81"/>
            <rFont val="Tahoma"/>
            <family val="2"/>
          </rPr>
          <t xml:space="preserve">
555/QĐ-UBND ngày 06/06/2024</t>
        </r>
      </text>
    </comment>
    <comment ref="B56" authorId="0" shapeId="0">
      <text>
        <r>
          <rPr>
            <b/>
            <sz val="9"/>
            <color indexed="81"/>
            <rFont val="Tahoma"/>
            <family val="2"/>
          </rPr>
          <t>Hoàng Liên:</t>
        </r>
        <r>
          <rPr>
            <sz val="9"/>
            <color indexed="81"/>
            <rFont val="Tahoma"/>
            <family val="2"/>
          </rPr>
          <t xml:space="preserve">
555/QĐ-UBND ngày 06/06/2024</t>
        </r>
      </text>
    </comment>
    <comment ref="B60" authorId="0" shapeId="0">
      <text>
        <r>
          <rPr>
            <b/>
            <sz val="9"/>
            <color indexed="81"/>
            <rFont val="Tahoma"/>
            <family val="2"/>
          </rPr>
          <t>Hoàng Liên:</t>
        </r>
        <r>
          <rPr>
            <sz val="9"/>
            <color indexed="81"/>
            <rFont val="Tahoma"/>
            <family val="2"/>
          </rPr>
          <t xml:space="preserve">
555/QĐ-UBND ngày 06/06/2024</t>
        </r>
      </text>
    </comment>
    <comment ref="B65" authorId="0" shapeId="0">
      <text>
        <r>
          <rPr>
            <b/>
            <sz val="9"/>
            <color indexed="81"/>
            <rFont val="Tahoma"/>
            <family val="2"/>
          </rPr>
          <t>Hoàng Liên:</t>
        </r>
        <r>
          <rPr>
            <sz val="9"/>
            <color indexed="81"/>
            <rFont val="Tahoma"/>
            <family val="2"/>
          </rPr>
          <t xml:space="preserve">
360/QĐ-UBND ngày 16/4/2024</t>
        </r>
      </text>
    </comment>
    <comment ref="B84" authorId="0" shapeId="0">
      <text>
        <r>
          <rPr>
            <b/>
            <sz val="9"/>
            <color indexed="81"/>
            <rFont val="Tahoma"/>
            <family val="2"/>
          </rPr>
          <t>Hoàng Liên:</t>
        </r>
        <r>
          <rPr>
            <sz val="9"/>
            <color indexed="81"/>
            <rFont val="Tahoma"/>
            <family val="2"/>
          </rPr>
          <t xml:space="preserve">
299/QĐ-UBND ngày 29/03/2024</t>
        </r>
      </text>
    </comment>
    <comment ref="B93" authorId="0" shapeId="0">
      <text>
        <r>
          <rPr>
            <b/>
            <sz val="9"/>
            <color indexed="81"/>
            <rFont val="Tahoma"/>
            <family val="2"/>
          </rPr>
          <t>Hoàng Liên:</t>
        </r>
        <r>
          <rPr>
            <sz val="9"/>
            <color indexed="81"/>
            <rFont val="Tahoma"/>
            <family val="2"/>
          </rPr>
          <t xml:space="preserve">
'08/QĐ-UBND ngày 03/01/2024</t>
        </r>
      </text>
    </comment>
    <comment ref="B105" authorId="0" shapeId="0">
      <text>
        <r>
          <rPr>
            <b/>
            <sz val="9"/>
            <color indexed="81"/>
            <rFont val="Tahoma"/>
            <family val="2"/>
          </rPr>
          <t>Hoàng Liên:</t>
        </r>
        <r>
          <rPr>
            <sz val="9"/>
            <color indexed="81"/>
            <rFont val="Tahoma"/>
            <family val="2"/>
          </rPr>
          <t xml:space="preserve">
695/QĐ-UBND ngày 25/7/2024</t>
        </r>
      </text>
    </comment>
    <comment ref="B106" authorId="0" shapeId="0">
      <text>
        <r>
          <rPr>
            <b/>
            <sz val="9"/>
            <color indexed="81"/>
            <rFont val="Tahoma"/>
            <family val="2"/>
          </rPr>
          <t>Hoàng Liên:</t>
        </r>
        <r>
          <rPr>
            <sz val="9"/>
            <color indexed="81"/>
            <rFont val="Tahoma"/>
            <family val="2"/>
          </rPr>
          <t xml:space="preserve">
'08/QĐ-UBND ngày 03/01/2024</t>
        </r>
      </text>
    </comment>
    <comment ref="B113" authorId="0" shapeId="0">
      <text>
        <r>
          <rPr>
            <b/>
            <sz val="9"/>
            <color indexed="81"/>
            <rFont val="Tahoma"/>
            <family val="2"/>
          </rPr>
          <t>Hoàng Liên:</t>
        </r>
        <r>
          <rPr>
            <sz val="9"/>
            <color indexed="81"/>
            <rFont val="Tahoma"/>
            <family val="2"/>
          </rPr>
          <t xml:space="preserve">
'08/QĐ-UBND ngày 03/01/2024</t>
        </r>
      </text>
    </comment>
    <comment ref="B114" authorId="0" shapeId="0">
      <text>
        <r>
          <rPr>
            <b/>
            <sz val="9"/>
            <color indexed="81"/>
            <rFont val="Tahoma"/>
            <family val="2"/>
          </rPr>
          <t>Hoàng Liên:</t>
        </r>
        <r>
          <rPr>
            <sz val="9"/>
            <color indexed="81"/>
            <rFont val="Tahoma"/>
            <family val="2"/>
          </rPr>
          <t xml:space="preserve">
555/QĐ-UBND ngày 06/06/2024</t>
        </r>
      </text>
    </comment>
    <comment ref="B122" authorId="0" shapeId="0">
      <text>
        <r>
          <rPr>
            <b/>
            <sz val="9"/>
            <color indexed="81"/>
            <rFont val="Tahoma"/>
            <family val="2"/>
          </rPr>
          <t>Hoàng Liên:</t>
        </r>
        <r>
          <rPr>
            <sz val="9"/>
            <color indexed="81"/>
            <rFont val="Tahoma"/>
            <family val="2"/>
          </rPr>
          <t xml:space="preserve">
461/QĐ-UBND ngày 16/06/2023</t>
        </r>
      </text>
    </comment>
    <comment ref="B123" authorId="0" shapeId="0">
      <text>
        <r>
          <rPr>
            <b/>
            <sz val="9"/>
            <color indexed="81"/>
            <rFont val="Tahoma"/>
            <family val="2"/>
          </rPr>
          <t>Hoàng Liên:</t>
        </r>
        <r>
          <rPr>
            <sz val="9"/>
            <color indexed="81"/>
            <rFont val="Tahoma"/>
            <family val="2"/>
          </rPr>
          <t xml:space="preserve">
555/QĐ-UBND ngày 06/06/2024</t>
        </r>
      </text>
    </comment>
    <comment ref="B128" authorId="0" shapeId="0">
      <text>
        <r>
          <rPr>
            <b/>
            <sz val="9"/>
            <color indexed="81"/>
            <rFont val="Tahoma"/>
            <family val="2"/>
          </rPr>
          <t>Hoàng Liên:</t>
        </r>
        <r>
          <rPr>
            <sz val="9"/>
            <color indexed="81"/>
            <rFont val="Tahoma"/>
            <family val="2"/>
          </rPr>
          <t xml:space="preserve">
555/QĐ-UBND ngày 06/06/2024</t>
        </r>
      </text>
    </comment>
    <comment ref="B132" authorId="0" shapeId="0">
      <text>
        <r>
          <rPr>
            <b/>
            <sz val="9"/>
            <color indexed="81"/>
            <rFont val="Tahoma"/>
            <family val="2"/>
          </rPr>
          <t>Hoàng Liên:</t>
        </r>
        <r>
          <rPr>
            <sz val="9"/>
            <color indexed="81"/>
            <rFont val="Tahoma"/>
            <family val="2"/>
          </rPr>
          <t xml:space="preserve">
555/QĐ-UBND ngày 06/06/2024</t>
        </r>
      </text>
    </comment>
    <comment ref="B136" authorId="0" shapeId="0">
      <text>
        <r>
          <rPr>
            <b/>
            <sz val="9"/>
            <color indexed="81"/>
            <rFont val="Tahoma"/>
            <family val="2"/>
          </rPr>
          <t>Hoàng Liên:</t>
        </r>
        <r>
          <rPr>
            <sz val="9"/>
            <color indexed="81"/>
            <rFont val="Tahoma"/>
            <family val="2"/>
          </rPr>
          <t xml:space="preserve">
555/QĐ-UBND ngày 06/06/2024</t>
        </r>
      </text>
    </comment>
    <comment ref="B140" authorId="0" shapeId="0">
      <text>
        <r>
          <rPr>
            <b/>
            <sz val="9"/>
            <color indexed="81"/>
            <rFont val="Tahoma"/>
            <family val="2"/>
          </rPr>
          <t>Hoàng Liên:</t>
        </r>
        <r>
          <rPr>
            <sz val="9"/>
            <color indexed="81"/>
            <rFont val="Tahoma"/>
            <family val="2"/>
          </rPr>
          <t xml:space="preserve">
555/QĐ-UBND ngày 06/06/2024</t>
        </r>
      </text>
    </comment>
    <comment ref="B145" authorId="0" shapeId="0">
      <text>
        <r>
          <rPr>
            <b/>
            <sz val="9"/>
            <color indexed="81"/>
            <rFont val="Tahoma"/>
            <family val="2"/>
          </rPr>
          <t>Hoàng Liên:</t>
        </r>
        <r>
          <rPr>
            <sz val="9"/>
            <color indexed="81"/>
            <rFont val="Tahoma"/>
            <family val="2"/>
          </rPr>
          <t xml:space="preserve">
'08/QĐ-UBND ngày 03/01/2024</t>
        </r>
      </text>
    </comment>
    <comment ref="B146" authorId="0" shapeId="0">
      <text>
        <r>
          <rPr>
            <b/>
            <sz val="9"/>
            <color indexed="81"/>
            <rFont val="Tahoma"/>
            <family val="2"/>
          </rPr>
          <t>Hoàng Liên:</t>
        </r>
        <r>
          <rPr>
            <sz val="9"/>
            <color indexed="81"/>
            <rFont val="Tahoma"/>
            <family val="2"/>
          </rPr>
          <t xml:space="preserve">
555/QĐ-UBND ngày 06/06/2024</t>
        </r>
      </text>
    </comment>
    <comment ref="B149" authorId="0" shapeId="0">
      <text>
        <r>
          <rPr>
            <b/>
            <sz val="9"/>
            <color indexed="81"/>
            <rFont val="Tahoma"/>
            <family val="2"/>
          </rPr>
          <t>Hoàng Liên:</t>
        </r>
        <r>
          <rPr>
            <sz val="9"/>
            <color indexed="81"/>
            <rFont val="Tahoma"/>
            <family val="2"/>
          </rPr>
          <t xml:space="preserve">
555/QĐ-UBND ngày 06/06/2024</t>
        </r>
      </text>
    </comment>
    <comment ref="B153" authorId="0" shapeId="0">
      <text>
        <r>
          <rPr>
            <b/>
            <sz val="9"/>
            <color indexed="81"/>
            <rFont val="Tahoma"/>
            <family val="2"/>
          </rPr>
          <t>Hoàng Liên:</t>
        </r>
        <r>
          <rPr>
            <sz val="9"/>
            <color indexed="81"/>
            <rFont val="Tahoma"/>
            <family val="2"/>
          </rPr>
          <t xml:space="preserve">
555/QĐ-UBND ngày 06/06/2024</t>
        </r>
      </text>
    </comment>
    <comment ref="B157" authorId="0" shapeId="0">
      <text>
        <r>
          <rPr>
            <b/>
            <sz val="9"/>
            <color indexed="81"/>
            <rFont val="Tahoma"/>
            <family val="2"/>
          </rPr>
          <t>Hoàng Liên:</t>
        </r>
        <r>
          <rPr>
            <sz val="9"/>
            <color indexed="81"/>
            <rFont val="Tahoma"/>
            <family val="2"/>
          </rPr>
          <t xml:space="preserve">
555/QĐ-UBND ngày 06/06/2024</t>
        </r>
      </text>
    </comment>
    <comment ref="B162" authorId="0" shapeId="0">
      <text>
        <r>
          <rPr>
            <b/>
            <sz val="9"/>
            <color indexed="81"/>
            <rFont val="Tahoma"/>
            <family val="2"/>
          </rPr>
          <t>Hoàng Liên:</t>
        </r>
        <r>
          <rPr>
            <sz val="9"/>
            <color indexed="81"/>
            <rFont val="Tahoma"/>
            <family val="2"/>
          </rPr>
          <t xml:space="preserve">
555/QĐ-UBND ngày 06/06/2024</t>
        </r>
      </text>
    </comment>
  </commentList>
</comments>
</file>

<file path=xl/comments5.xml><?xml version="1.0" encoding="utf-8"?>
<comments xmlns="http://schemas.openxmlformats.org/spreadsheetml/2006/main">
  <authors>
    <author>Hoàng Liên</author>
  </authors>
  <commentList>
    <comment ref="C14" authorId="0" shapeId="0">
      <text>
        <r>
          <rPr>
            <b/>
            <sz val="9"/>
            <color indexed="81"/>
            <rFont val="Tahoma"/>
            <family val="2"/>
          </rPr>
          <t>Hoàng Liên:</t>
        </r>
        <r>
          <rPr>
            <sz val="9"/>
            <color indexed="81"/>
            <rFont val="Tahoma"/>
            <family val="2"/>
          </rPr>
          <t xml:space="preserve">
NS Huyện</t>
        </r>
      </text>
    </comment>
    <comment ref="C16" authorId="0" shapeId="0">
      <text>
        <r>
          <rPr>
            <b/>
            <sz val="9"/>
            <color indexed="81"/>
            <rFont val="Tahoma"/>
            <family val="2"/>
          </rPr>
          <t>Hoàng Liên:</t>
        </r>
        <r>
          <rPr>
            <sz val="9"/>
            <color indexed="81"/>
            <rFont val="Tahoma"/>
            <family val="2"/>
          </rPr>
          <t xml:space="preserve">
NS Huyện</t>
        </r>
      </text>
    </comment>
    <comment ref="C17" authorId="0" shapeId="0">
      <text>
        <r>
          <rPr>
            <b/>
            <sz val="9"/>
            <color indexed="81"/>
            <rFont val="Tahoma"/>
            <family val="2"/>
          </rPr>
          <t>Hoàng Liên:</t>
        </r>
        <r>
          <rPr>
            <sz val="9"/>
            <color indexed="81"/>
            <rFont val="Tahoma"/>
            <family val="2"/>
          </rPr>
          <t xml:space="preserve">
NS Tỉnh</t>
        </r>
      </text>
    </comment>
    <comment ref="C18" authorId="0" shapeId="0">
      <text>
        <r>
          <rPr>
            <b/>
            <sz val="9"/>
            <color indexed="81"/>
            <rFont val="Tahoma"/>
            <family val="2"/>
          </rPr>
          <t>Hoàng Liên:</t>
        </r>
        <r>
          <rPr>
            <sz val="9"/>
            <color indexed="81"/>
            <rFont val="Tahoma"/>
            <family val="2"/>
          </rPr>
          <t xml:space="preserve">
NS Tỉnh</t>
        </r>
      </text>
    </comment>
    <comment ref="C19" authorId="0" shapeId="0">
      <text>
        <r>
          <rPr>
            <b/>
            <sz val="9"/>
            <color indexed="81"/>
            <rFont val="Tahoma"/>
            <family val="2"/>
          </rPr>
          <t>Hoàng Liên:</t>
        </r>
        <r>
          <rPr>
            <sz val="9"/>
            <color indexed="81"/>
            <rFont val="Tahoma"/>
            <family val="2"/>
          </rPr>
          <t xml:space="preserve">
NS Tỉnh</t>
        </r>
      </text>
    </comment>
    <comment ref="C34" authorId="0" shapeId="0">
      <text>
        <r>
          <rPr>
            <b/>
            <sz val="9"/>
            <color indexed="81"/>
            <rFont val="Tahoma"/>
            <family val="2"/>
          </rPr>
          <t>Hoàng Liên:</t>
        </r>
        <r>
          <rPr>
            <sz val="9"/>
            <color indexed="81"/>
            <rFont val="Tahoma"/>
            <family val="2"/>
          </rPr>
          <t xml:space="preserve">
NS Huyện</t>
        </r>
      </text>
    </comment>
    <comment ref="C35" authorId="0" shapeId="0">
      <text>
        <r>
          <rPr>
            <b/>
            <sz val="9"/>
            <color indexed="81"/>
            <rFont val="Tahoma"/>
            <family val="2"/>
          </rPr>
          <t>Hoàng Liên:</t>
        </r>
        <r>
          <rPr>
            <sz val="9"/>
            <color indexed="81"/>
            <rFont val="Tahoma"/>
            <family val="2"/>
          </rPr>
          <t xml:space="preserve">
NS Huyện</t>
        </r>
      </text>
    </comment>
    <comment ref="C36" authorId="0" shapeId="0">
      <text>
        <r>
          <rPr>
            <b/>
            <sz val="9"/>
            <color indexed="81"/>
            <rFont val="Tahoma"/>
            <family val="2"/>
          </rPr>
          <t>Hoàng Liên:</t>
        </r>
        <r>
          <rPr>
            <sz val="9"/>
            <color indexed="81"/>
            <rFont val="Tahoma"/>
            <family val="2"/>
          </rPr>
          <t xml:space="preserve">
Dự phòng</t>
        </r>
      </text>
    </comment>
    <comment ref="C37" authorId="0" shapeId="0">
      <text>
        <r>
          <rPr>
            <b/>
            <sz val="9"/>
            <color indexed="81"/>
            <rFont val="Tahoma"/>
            <family val="2"/>
          </rPr>
          <t>Hoàng Liên:</t>
        </r>
        <r>
          <rPr>
            <sz val="9"/>
            <color indexed="81"/>
            <rFont val="Tahoma"/>
            <family val="2"/>
          </rPr>
          <t xml:space="preserve">
NS Tỉnh</t>
        </r>
      </text>
    </comment>
    <comment ref="C38" authorId="0" shapeId="0">
      <text>
        <r>
          <rPr>
            <b/>
            <sz val="9"/>
            <color indexed="81"/>
            <rFont val="Tahoma"/>
            <family val="2"/>
          </rPr>
          <t>Hoàng Liên:</t>
        </r>
        <r>
          <rPr>
            <sz val="9"/>
            <color indexed="81"/>
            <rFont val="Tahoma"/>
            <family val="2"/>
          </rPr>
          <t xml:space="preserve">
NS Tỉnh</t>
        </r>
      </text>
    </comment>
    <comment ref="C49" authorId="0" shapeId="0">
      <text>
        <r>
          <rPr>
            <b/>
            <sz val="9"/>
            <color indexed="81"/>
            <rFont val="Tahoma"/>
            <family val="2"/>
          </rPr>
          <t>Hoàng Liên:</t>
        </r>
        <r>
          <rPr>
            <sz val="9"/>
            <color indexed="81"/>
            <rFont val="Tahoma"/>
            <family val="2"/>
          </rPr>
          <t xml:space="preserve">
NS Huyện</t>
        </r>
      </text>
    </comment>
    <comment ref="C50" authorId="0" shapeId="0">
      <text>
        <r>
          <rPr>
            <b/>
            <sz val="9"/>
            <color indexed="81"/>
            <rFont val="Tahoma"/>
            <family val="2"/>
          </rPr>
          <t>Hoàng Liên:</t>
        </r>
        <r>
          <rPr>
            <sz val="9"/>
            <color indexed="81"/>
            <rFont val="Tahoma"/>
            <family val="2"/>
          </rPr>
          <t xml:space="preserve">
Dự phòng</t>
        </r>
      </text>
    </comment>
    <comment ref="C51" authorId="0" shapeId="0">
      <text>
        <r>
          <rPr>
            <b/>
            <sz val="9"/>
            <color indexed="81"/>
            <rFont val="Tahoma"/>
            <family val="2"/>
          </rPr>
          <t>Hoàng Liên:</t>
        </r>
        <r>
          <rPr>
            <sz val="9"/>
            <color indexed="81"/>
            <rFont val="Tahoma"/>
            <family val="2"/>
          </rPr>
          <t xml:space="preserve">
NS Tỉnh</t>
        </r>
      </text>
    </comment>
    <comment ref="C61" authorId="0" shapeId="0">
      <text>
        <r>
          <rPr>
            <b/>
            <sz val="9"/>
            <color indexed="81"/>
            <rFont val="Tahoma"/>
            <family val="2"/>
          </rPr>
          <t>Hoàng Liên:</t>
        </r>
        <r>
          <rPr>
            <sz val="9"/>
            <color indexed="81"/>
            <rFont val="Tahoma"/>
            <family val="2"/>
          </rPr>
          <t xml:space="preserve">
NS Huyện</t>
        </r>
      </text>
    </comment>
    <comment ref="C62" authorId="0" shapeId="0">
      <text>
        <r>
          <rPr>
            <b/>
            <sz val="9"/>
            <color indexed="81"/>
            <rFont val="Tahoma"/>
            <family val="2"/>
          </rPr>
          <t>Hoàng Liên:</t>
        </r>
        <r>
          <rPr>
            <sz val="9"/>
            <color indexed="81"/>
            <rFont val="Tahoma"/>
            <family val="2"/>
          </rPr>
          <t xml:space="preserve">
NS Huyện</t>
        </r>
      </text>
    </comment>
    <comment ref="C63" authorId="0" shapeId="0">
      <text>
        <r>
          <rPr>
            <b/>
            <sz val="9"/>
            <color indexed="81"/>
            <rFont val="Tahoma"/>
            <family val="2"/>
          </rPr>
          <t>Hoàng Liên:</t>
        </r>
        <r>
          <rPr>
            <sz val="9"/>
            <color indexed="81"/>
            <rFont val="Tahoma"/>
            <family val="2"/>
          </rPr>
          <t xml:space="preserve">
NS Huyện</t>
        </r>
      </text>
    </comment>
    <comment ref="C64" authorId="0" shapeId="0">
      <text>
        <r>
          <rPr>
            <b/>
            <sz val="9"/>
            <color indexed="81"/>
            <rFont val="Tahoma"/>
            <family val="2"/>
          </rPr>
          <t>Hoàng Liên:</t>
        </r>
        <r>
          <rPr>
            <sz val="9"/>
            <color indexed="81"/>
            <rFont val="Tahoma"/>
            <family val="2"/>
          </rPr>
          <t xml:space="preserve">
Dự phòng</t>
        </r>
      </text>
    </comment>
    <comment ref="C65" authorId="0" shapeId="0">
      <text>
        <r>
          <rPr>
            <b/>
            <sz val="9"/>
            <color indexed="81"/>
            <rFont val="Tahoma"/>
            <family val="2"/>
          </rPr>
          <t>Hoàng Liên:</t>
        </r>
        <r>
          <rPr>
            <sz val="9"/>
            <color indexed="81"/>
            <rFont val="Tahoma"/>
            <family val="2"/>
          </rPr>
          <t xml:space="preserve">
NS Tỉnh</t>
        </r>
      </text>
    </comment>
    <comment ref="C66" authorId="0" shapeId="0">
      <text>
        <r>
          <rPr>
            <b/>
            <sz val="9"/>
            <color indexed="81"/>
            <rFont val="Tahoma"/>
            <family val="2"/>
          </rPr>
          <t>Hoàng Liên:</t>
        </r>
        <r>
          <rPr>
            <sz val="9"/>
            <color indexed="81"/>
            <rFont val="Tahoma"/>
            <family val="2"/>
          </rPr>
          <t xml:space="preserve">
NS Tỉnh</t>
        </r>
      </text>
    </comment>
    <comment ref="C75" authorId="0" shapeId="0">
      <text>
        <r>
          <rPr>
            <b/>
            <sz val="9"/>
            <color indexed="81"/>
            <rFont val="Tahoma"/>
            <family val="2"/>
          </rPr>
          <t>Hoàng Liên:</t>
        </r>
        <r>
          <rPr>
            <sz val="9"/>
            <color indexed="81"/>
            <rFont val="Tahoma"/>
            <family val="2"/>
          </rPr>
          <t xml:space="preserve">
NS Huyện</t>
        </r>
      </text>
    </comment>
    <comment ref="C76" authorId="0" shapeId="0">
      <text>
        <r>
          <rPr>
            <b/>
            <sz val="9"/>
            <color indexed="81"/>
            <rFont val="Tahoma"/>
            <family val="2"/>
          </rPr>
          <t>Hoàng Liên:</t>
        </r>
        <r>
          <rPr>
            <sz val="9"/>
            <color indexed="81"/>
            <rFont val="Tahoma"/>
            <family val="2"/>
          </rPr>
          <t xml:space="preserve">
NS Huyện</t>
        </r>
      </text>
    </comment>
    <comment ref="C77" authorId="0" shapeId="0">
      <text>
        <r>
          <rPr>
            <b/>
            <sz val="9"/>
            <color indexed="81"/>
            <rFont val="Tahoma"/>
            <family val="2"/>
          </rPr>
          <t>Hoàng Liên:</t>
        </r>
        <r>
          <rPr>
            <sz val="9"/>
            <color indexed="81"/>
            <rFont val="Tahoma"/>
            <family val="2"/>
          </rPr>
          <t xml:space="preserve">
NS Huyện</t>
        </r>
      </text>
    </comment>
    <comment ref="C78" authorId="0" shapeId="0">
      <text>
        <r>
          <rPr>
            <b/>
            <sz val="9"/>
            <color indexed="81"/>
            <rFont val="Tahoma"/>
            <family val="2"/>
          </rPr>
          <t>Hoàng Liên:</t>
        </r>
        <r>
          <rPr>
            <sz val="9"/>
            <color indexed="81"/>
            <rFont val="Tahoma"/>
            <family val="2"/>
          </rPr>
          <t xml:space="preserve">
NS Tỉnh</t>
        </r>
      </text>
    </comment>
    <comment ref="C79" authorId="0" shapeId="0">
      <text>
        <r>
          <rPr>
            <b/>
            <sz val="9"/>
            <color indexed="81"/>
            <rFont val="Tahoma"/>
            <family val="2"/>
          </rPr>
          <t>Hoàng Liên:</t>
        </r>
        <r>
          <rPr>
            <sz val="9"/>
            <color indexed="81"/>
            <rFont val="Tahoma"/>
            <family val="2"/>
          </rPr>
          <t xml:space="preserve">
NS Tỉnh</t>
        </r>
      </text>
    </comment>
    <comment ref="C86" authorId="0" shapeId="0">
      <text>
        <r>
          <rPr>
            <b/>
            <sz val="9"/>
            <color indexed="81"/>
            <rFont val="Tahoma"/>
            <family val="2"/>
          </rPr>
          <t>Hoàng Liên:</t>
        </r>
        <r>
          <rPr>
            <sz val="9"/>
            <color indexed="81"/>
            <rFont val="Tahoma"/>
            <family val="2"/>
          </rPr>
          <t xml:space="preserve">
NS Huyện</t>
        </r>
      </text>
    </comment>
    <comment ref="C87" authorId="0" shapeId="0">
      <text>
        <r>
          <rPr>
            <b/>
            <sz val="9"/>
            <color indexed="81"/>
            <rFont val="Tahoma"/>
            <family val="2"/>
          </rPr>
          <t>Hoàng Liên:</t>
        </r>
        <r>
          <rPr>
            <sz val="9"/>
            <color indexed="81"/>
            <rFont val="Tahoma"/>
            <family val="2"/>
          </rPr>
          <t xml:space="preserve">
NS Huyện</t>
        </r>
      </text>
    </comment>
    <comment ref="C88" authorId="0" shapeId="0">
      <text>
        <r>
          <rPr>
            <b/>
            <sz val="9"/>
            <color indexed="81"/>
            <rFont val="Tahoma"/>
            <family val="2"/>
          </rPr>
          <t>Hoàng Liên:</t>
        </r>
        <r>
          <rPr>
            <sz val="9"/>
            <color indexed="81"/>
            <rFont val="Tahoma"/>
            <family val="2"/>
          </rPr>
          <t xml:space="preserve">
NS Tỉnh</t>
        </r>
      </text>
    </comment>
    <comment ref="C89" authorId="0" shapeId="0">
      <text>
        <r>
          <rPr>
            <b/>
            <sz val="9"/>
            <color indexed="81"/>
            <rFont val="Tahoma"/>
            <family val="2"/>
          </rPr>
          <t>Hoàng Liên:</t>
        </r>
        <r>
          <rPr>
            <sz val="9"/>
            <color indexed="81"/>
            <rFont val="Tahoma"/>
            <family val="2"/>
          </rPr>
          <t xml:space="preserve">
NS Tỉnh</t>
        </r>
      </text>
    </comment>
    <comment ref="C98" authorId="0" shapeId="0">
      <text>
        <r>
          <rPr>
            <b/>
            <sz val="9"/>
            <color indexed="81"/>
            <rFont val="Tahoma"/>
            <family val="2"/>
          </rPr>
          <t>Hoàng Liên:</t>
        </r>
        <r>
          <rPr>
            <sz val="9"/>
            <color indexed="81"/>
            <rFont val="Tahoma"/>
            <family val="2"/>
          </rPr>
          <t xml:space="preserve">
NS Huyện</t>
        </r>
      </text>
    </comment>
    <comment ref="C99" authorId="0" shapeId="0">
      <text>
        <r>
          <rPr>
            <b/>
            <sz val="9"/>
            <color indexed="81"/>
            <rFont val="Tahoma"/>
            <family val="2"/>
          </rPr>
          <t>Hoàng Liên:</t>
        </r>
        <r>
          <rPr>
            <sz val="9"/>
            <color indexed="81"/>
            <rFont val="Tahoma"/>
            <family val="2"/>
          </rPr>
          <t xml:space="preserve">
NS Huyện</t>
        </r>
      </text>
    </comment>
    <comment ref="C100" authorId="0" shapeId="0">
      <text>
        <r>
          <rPr>
            <b/>
            <sz val="9"/>
            <color indexed="81"/>
            <rFont val="Tahoma"/>
            <family val="2"/>
          </rPr>
          <t>Hoàng Liên:</t>
        </r>
        <r>
          <rPr>
            <sz val="9"/>
            <color indexed="81"/>
            <rFont val="Tahoma"/>
            <family val="2"/>
          </rPr>
          <t xml:space="preserve">
Dự phòng</t>
        </r>
      </text>
    </comment>
    <comment ref="C101" authorId="0" shapeId="0">
      <text>
        <r>
          <rPr>
            <b/>
            <sz val="9"/>
            <color indexed="81"/>
            <rFont val="Tahoma"/>
            <family val="2"/>
          </rPr>
          <t>Hoàng Liên:</t>
        </r>
        <r>
          <rPr>
            <sz val="9"/>
            <color indexed="81"/>
            <rFont val="Tahoma"/>
            <family val="2"/>
          </rPr>
          <t xml:space="preserve">
Dự phòng</t>
        </r>
      </text>
    </comment>
    <comment ref="C102" authorId="0" shapeId="0">
      <text>
        <r>
          <rPr>
            <b/>
            <sz val="9"/>
            <color indexed="81"/>
            <rFont val="Tahoma"/>
            <family val="2"/>
          </rPr>
          <t>Hoàng Liên:</t>
        </r>
        <r>
          <rPr>
            <sz val="9"/>
            <color indexed="81"/>
            <rFont val="Tahoma"/>
            <family val="2"/>
          </rPr>
          <t xml:space="preserve">
NS Tỉnh</t>
        </r>
      </text>
    </comment>
    <comment ref="C103" authorId="0" shapeId="0">
      <text>
        <r>
          <rPr>
            <b/>
            <sz val="9"/>
            <color indexed="81"/>
            <rFont val="Tahoma"/>
            <family val="2"/>
          </rPr>
          <t>Hoàng Liên:</t>
        </r>
        <r>
          <rPr>
            <sz val="9"/>
            <color indexed="81"/>
            <rFont val="Tahoma"/>
            <family val="2"/>
          </rPr>
          <t xml:space="preserve">
NS Tỉnh</t>
        </r>
      </text>
    </comment>
    <comment ref="C110" authorId="0" shapeId="0">
      <text>
        <r>
          <rPr>
            <b/>
            <sz val="9"/>
            <color indexed="81"/>
            <rFont val="Tahoma"/>
            <family val="2"/>
          </rPr>
          <t>Hoàng Liên:</t>
        </r>
        <r>
          <rPr>
            <sz val="9"/>
            <color indexed="81"/>
            <rFont val="Tahoma"/>
            <family val="2"/>
          </rPr>
          <t xml:space="preserve">
NS Huyện</t>
        </r>
      </text>
    </comment>
    <comment ref="C111" authorId="0" shapeId="0">
      <text>
        <r>
          <rPr>
            <b/>
            <sz val="9"/>
            <color indexed="81"/>
            <rFont val="Tahoma"/>
            <family val="2"/>
          </rPr>
          <t>Hoàng Liên:</t>
        </r>
        <r>
          <rPr>
            <sz val="9"/>
            <color indexed="81"/>
            <rFont val="Tahoma"/>
            <family val="2"/>
          </rPr>
          <t xml:space="preserve">
NS Tỉnh</t>
        </r>
      </text>
    </comment>
    <comment ref="C112" authorId="0" shapeId="0">
      <text>
        <r>
          <rPr>
            <b/>
            <sz val="9"/>
            <color indexed="81"/>
            <rFont val="Tahoma"/>
            <family val="2"/>
          </rPr>
          <t>Hoàng Liên:</t>
        </r>
        <r>
          <rPr>
            <sz val="9"/>
            <color indexed="81"/>
            <rFont val="Tahoma"/>
            <family val="2"/>
          </rPr>
          <t xml:space="preserve">
NS Tỉnh</t>
        </r>
      </text>
    </comment>
    <comment ref="C119" authorId="0" shapeId="0">
      <text>
        <r>
          <rPr>
            <b/>
            <sz val="9"/>
            <color indexed="81"/>
            <rFont val="Tahoma"/>
            <family val="2"/>
          </rPr>
          <t>Hoàng Liên:</t>
        </r>
        <r>
          <rPr>
            <sz val="9"/>
            <color indexed="81"/>
            <rFont val="Tahoma"/>
            <family val="2"/>
          </rPr>
          <t xml:space="preserve">
NS Huyện</t>
        </r>
      </text>
    </comment>
    <comment ref="C120" authorId="0" shapeId="0">
      <text>
        <r>
          <rPr>
            <b/>
            <sz val="9"/>
            <color indexed="81"/>
            <rFont val="Tahoma"/>
            <family val="2"/>
          </rPr>
          <t>Hoàng Liên:</t>
        </r>
        <r>
          <rPr>
            <sz val="9"/>
            <color indexed="81"/>
            <rFont val="Tahoma"/>
            <family val="2"/>
          </rPr>
          <t xml:space="preserve">
NS Tỉnh</t>
        </r>
      </text>
    </comment>
    <comment ref="C121" authorId="0" shapeId="0">
      <text>
        <r>
          <rPr>
            <b/>
            <sz val="9"/>
            <color indexed="81"/>
            <rFont val="Tahoma"/>
            <family val="2"/>
          </rPr>
          <t>Hoàng Liên:</t>
        </r>
        <r>
          <rPr>
            <sz val="9"/>
            <color indexed="81"/>
            <rFont val="Tahoma"/>
            <family val="2"/>
          </rPr>
          <t xml:space="preserve">
NS Tỉnh</t>
        </r>
      </text>
    </comment>
    <comment ref="C128" authorId="0" shapeId="0">
      <text>
        <r>
          <rPr>
            <b/>
            <sz val="9"/>
            <color indexed="81"/>
            <rFont val="Tahoma"/>
            <family val="2"/>
          </rPr>
          <t>Hoàng Liên:</t>
        </r>
        <r>
          <rPr>
            <sz val="9"/>
            <color indexed="81"/>
            <rFont val="Tahoma"/>
            <family val="2"/>
          </rPr>
          <t xml:space="preserve">
NS Huyện</t>
        </r>
      </text>
    </comment>
    <comment ref="C129" authorId="0" shapeId="0">
      <text>
        <r>
          <rPr>
            <b/>
            <sz val="9"/>
            <color indexed="81"/>
            <rFont val="Tahoma"/>
            <family val="2"/>
          </rPr>
          <t>Hoàng Liên:</t>
        </r>
        <r>
          <rPr>
            <sz val="9"/>
            <color indexed="81"/>
            <rFont val="Tahoma"/>
            <family val="2"/>
          </rPr>
          <t xml:space="preserve">
NS Huyện</t>
        </r>
      </text>
    </comment>
    <comment ref="C130" authorId="0" shapeId="0">
      <text>
        <r>
          <rPr>
            <b/>
            <sz val="9"/>
            <color indexed="81"/>
            <rFont val="Tahoma"/>
            <family val="2"/>
          </rPr>
          <t>Hoàng Liên:</t>
        </r>
        <r>
          <rPr>
            <sz val="9"/>
            <color indexed="81"/>
            <rFont val="Tahoma"/>
            <family val="2"/>
          </rPr>
          <t xml:space="preserve">
Dự phòng</t>
        </r>
      </text>
    </comment>
    <comment ref="C131" authorId="0" shapeId="0">
      <text>
        <r>
          <rPr>
            <b/>
            <sz val="9"/>
            <color indexed="81"/>
            <rFont val="Tahoma"/>
            <family val="2"/>
          </rPr>
          <t>Hoàng Liên:</t>
        </r>
        <r>
          <rPr>
            <sz val="9"/>
            <color indexed="81"/>
            <rFont val="Tahoma"/>
            <family val="2"/>
          </rPr>
          <t xml:space="preserve">
NS Tỉnh</t>
        </r>
      </text>
    </comment>
    <comment ref="C139" authorId="0" shapeId="0">
      <text>
        <r>
          <rPr>
            <b/>
            <sz val="9"/>
            <color indexed="81"/>
            <rFont val="Tahoma"/>
            <family val="2"/>
          </rPr>
          <t>Hoàng Liên:</t>
        </r>
        <r>
          <rPr>
            <sz val="9"/>
            <color indexed="81"/>
            <rFont val="Tahoma"/>
            <family val="2"/>
          </rPr>
          <t xml:space="preserve">
NS Huyện</t>
        </r>
      </text>
    </comment>
    <comment ref="C140" authorId="0" shapeId="0">
      <text>
        <r>
          <rPr>
            <b/>
            <sz val="9"/>
            <color indexed="81"/>
            <rFont val="Tahoma"/>
            <family val="2"/>
          </rPr>
          <t>Hoàng Liên:</t>
        </r>
        <r>
          <rPr>
            <sz val="9"/>
            <color indexed="81"/>
            <rFont val="Tahoma"/>
            <family val="2"/>
          </rPr>
          <t xml:space="preserve">
NS Huyện</t>
        </r>
      </text>
    </comment>
    <comment ref="C141" authorId="0" shapeId="0">
      <text>
        <r>
          <rPr>
            <b/>
            <sz val="9"/>
            <color indexed="81"/>
            <rFont val="Tahoma"/>
            <family val="2"/>
          </rPr>
          <t>Hoàng Liên:</t>
        </r>
        <r>
          <rPr>
            <sz val="9"/>
            <color indexed="81"/>
            <rFont val="Tahoma"/>
            <family val="2"/>
          </rPr>
          <t xml:space="preserve">
NS Huyện</t>
        </r>
      </text>
    </comment>
    <comment ref="C142" authorId="0" shapeId="0">
      <text>
        <r>
          <rPr>
            <b/>
            <sz val="9"/>
            <color indexed="81"/>
            <rFont val="Tahoma"/>
            <family val="2"/>
          </rPr>
          <t>Hoàng Liên:</t>
        </r>
        <r>
          <rPr>
            <sz val="9"/>
            <color indexed="81"/>
            <rFont val="Tahoma"/>
            <family val="2"/>
          </rPr>
          <t xml:space="preserve">
NS Huyện</t>
        </r>
      </text>
    </comment>
    <comment ref="C143" authorId="0" shapeId="0">
      <text>
        <r>
          <rPr>
            <b/>
            <sz val="9"/>
            <color indexed="81"/>
            <rFont val="Tahoma"/>
            <family val="2"/>
          </rPr>
          <t>Hoàng Liên:</t>
        </r>
        <r>
          <rPr>
            <sz val="9"/>
            <color indexed="81"/>
            <rFont val="Tahoma"/>
            <family val="2"/>
          </rPr>
          <t xml:space="preserve">
Dự phòng</t>
        </r>
      </text>
    </comment>
    <comment ref="C144" authorId="0" shapeId="0">
      <text>
        <r>
          <rPr>
            <b/>
            <sz val="9"/>
            <color indexed="81"/>
            <rFont val="Tahoma"/>
            <family val="2"/>
          </rPr>
          <t>Hoàng Liên:</t>
        </r>
        <r>
          <rPr>
            <sz val="9"/>
            <color indexed="81"/>
            <rFont val="Tahoma"/>
            <family val="2"/>
          </rPr>
          <t xml:space="preserve">
Dự phòng</t>
        </r>
      </text>
    </comment>
    <comment ref="C145" authorId="0" shapeId="0">
      <text>
        <r>
          <rPr>
            <b/>
            <sz val="9"/>
            <color indexed="81"/>
            <rFont val="Tahoma"/>
            <family val="2"/>
          </rPr>
          <t>Hoàng Liên:</t>
        </r>
        <r>
          <rPr>
            <sz val="9"/>
            <color indexed="81"/>
            <rFont val="Tahoma"/>
            <family val="2"/>
          </rPr>
          <t xml:space="preserve">
NS Tỉnh</t>
        </r>
      </text>
    </comment>
    <comment ref="C146" authorId="0" shapeId="0">
      <text>
        <r>
          <rPr>
            <b/>
            <sz val="9"/>
            <color indexed="81"/>
            <rFont val="Tahoma"/>
            <family val="2"/>
          </rPr>
          <t>Hoàng Liên:</t>
        </r>
        <r>
          <rPr>
            <sz val="9"/>
            <color indexed="81"/>
            <rFont val="Tahoma"/>
            <family val="2"/>
          </rPr>
          <t xml:space="preserve">
NS Tỉnh</t>
        </r>
      </text>
    </comment>
    <comment ref="C155" authorId="0" shapeId="0">
      <text>
        <r>
          <rPr>
            <b/>
            <sz val="9"/>
            <color indexed="81"/>
            <rFont val="Tahoma"/>
            <family val="2"/>
          </rPr>
          <t>Hoàng Liên:</t>
        </r>
        <r>
          <rPr>
            <sz val="9"/>
            <color indexed="81"/>
            <rFont val="Tahoma"/>
            <family val="2"/>
          </rPr>
          <t xml:space="preserve">
NS Huyện</t>
        </r>
      </text>
    </comment>
    <comment ref="C156" authorId="0" shapeId="0">
      <text>
        <r>
          <rPr>
            <b/>
            <sz val="9"/>
            <color indexed="81"/>
            <rFont val="Tahoma"/>
            <family val="2"/>
          </rPr>
          <t>Hoàng Liên:</t>
        </r>
        <r>
          <rPr>
            <sz val="9"/>
            <color indexed="81"/>
            <rFont val="Tahoma"/>
            <family val="2"/>
          </rPr>
          <t xml:space="preserve">
NS Huyện</t>
        </r>
      </text>
    </comment>
    <comment ref="C157" authorId="0" shapeId="0">
      <text>
        <r>
          <rPr>
            <b/>
            <sz val="9"/>
            <color indexed="81"/>
            <rFont val="Tahoma"/>
            <family val="2"/>
          </rPr>
          <t>Hoàng Liên:</t>
        </r>
        <r>
          <rPr>
            <sz val="9"/>
            <color indexed="81"/>
            <rFont val="Tahoma"/>
            <family val="2"/>
          </rPr>
          <t xml:space="preserve">
Dự phòng</t>
        </r>
      </text>
    </comment>
    <comment ref="C158" authorId="0" shapeId="0">
      <text>
        <r>
          <rPr>
            <b/>
            <sz val="9"/>
            <color indexed="81"/>
            <rFont val="Tahoma"/>
            <family val="2"/>
          </rPr>
          <t>Hoàng Liên:</t>
        </r>
        <r>
          <rPr>
            <sz val="9"/>
            <color indexed="81"/>
            <rFont val="Tahoma"/>
            <family val="2"/>
          </rPr>
          <t xml:space="preserve">
Dự phòng</t>
        </r>
      </text>
    </comment>
    <comment ref="C159" authorId="0" shapeId="0">
      <text>
        <r>
          <rPr>
            <b/>
            <sz val="9"/>
            <color indexed="81"/>
            <rFont val="Tahoma"/>
            <family val="2"/>
          </rPr>
          <t>Hoàng Liên:</t>
        </r>
        <r>
          <rPr>
            <sz val="9"/>
            <color indexed="81"/>
            <rFont val="Tahoma"/>
            <family val="2"/>
          </rPr>
          <t xml:space="preserve">
NS Tỉnh</t>
        </r>
      </text>
    </comment>
    <comment ref="C160" authorId="0" shapeId="0">
      <text>
        <r>
          <rPr>
            <b/>
            <sz val="9"/>
            <color indexed="81"/>
            <rFont val="Tahoma"/>
            <family val="2"/>
          </rPr>
          <t>Hoàng Liên:</t>
        </r>
        <r>
          <rPr>
            <sz val="9"/>
            <color indexed="81"/>
            <rFont val="Tahoma"/>
            <family val="2"/>
          </rPr>
          <t xml:space="preserve">
NS Tỉnh</t>
        </r>
      </text>
    </comment>
  </commentList>
</comments>
</file>

<file path=xl/sharedStrings.xml><?xml version="1.0" encoding="utf-8"?>
<sst xmlns="http://schemas.openxmlformats.org/spreadsheetml/2006/main" count="1474" uniqueCount="783">
  <si>
    <t>Đơn vị tính: 1.000 đồng</t>
  </si>
  <si>
    <t>Stt</t>
  </si>
  <si>
    <t>Nội dung</t>
  </si>
  <si>
    <t>A</t>
  </si>
  <si>
    <t>B</t>
  </si>
  <si>
    <t>TỔNG SỐ (I+II+III+IV)</t>
  </si>
  <si>
    <t>I</t>
  </si>
  <si>
    <t>KHỐI QUẢN LÝ NHÀ NƯỚC</t>
  </si>
  <si>
    <t>Văn phòng HĐND và UBND Huyện</t>
  </si>
  <si>
    <t>a</t>
  </si>
  <si>
    <t xml:space="preserve">Văn phòng Ủy ban nhân dân, gồm: </t>
  </si>
  <si>
    <t>- Chi công tác cải cách thủ tục hành chính</t>
  </si>
  <si>
    <t>- Trang phục Tổ bảo vệ và bộ phận tiếp công dân, một cửa</t>
  </si>
  <si>
    <t>- Chi mua sắm và sửa chữa tài sản</t>
  </si>
  <si>
    <r>
      <t>- Chi khác (</t>
    </r>
    <r>
      <rPr>
        <i/>
        <sz val="12"/>
        <rFont val="Times New Roman"/>
        <family val="1"/>
      </rPr>
      <t>chăm sóc cây kiểng khu vực UBND Huyện; bảo hiểm xe 02 xe ô tô; kiểm định xe ô tô và phí đường bộ; quảng bá hình ảnh, xúc tiến thương mại và kêu gọi đầu tư</t>
    </r>
    <r>
      <rPr>
        <sz val="12"/>
        <rFont val="Times New Roman"/>
        <family val="1"/>
      </rPr>
      <t>)</t>
    </r>
  </si>
  <si>
    <t xml:space="preserve">- Kinh phí đối ngoại </t>
  </si>
  <si>
    <t>- Kinh phí hoạt động Đảng ủy Khối Nhà nước</t>
  </si>
  <si>
    <t>- Kinh phí chi công tác ban hành văn bản</t>
  </si>
  <si>
    <t>- Đề án chuyển giao các nhiệm vụ dịch vụ hành chính công giai đoạn 3</t>
  </si>
  <si>
    <t>- Kinh phí thăm doanh nghiệp và mạnh thường quân</t>
  </si>
  <si>
    <t>b</t>
  </si>
  <si>
    <t xml:space="preserve">Văn phòng Hội đồng nhân dân, gồm: </t>
  </si>
  <si>
    <t>- Chi Hội nghị đóng góp văn bản Luật</t>
  </si>
  <si>
    <t>- Chi công tác giám sát thẩm tra, xây dựng văn bản</t>
  </si>
  <si>
    <t>- Chi tiếp xúc cử tri</t>
  </si>
  <si>
    <t>- Chi phục vụ kỳ họp, hội thảo, sơ kết, tổng kết</t>
  </si>
  <si>
    <t>- Chi hội nghị, giao ban, trao đổi kinh nghiệm hoạt động của HĐND</t>
  </si>
  <si>
    <t>- Hỗ trợ kiêm nhiệm chức danh lãnh đạo và ĐB.HĐND</t>
  </si>
  <si>
    <t>- Chi công tác xã hội (thăm hỏi ốm đau,…)</t>
  </si>
  <si>
    <t>- Công tác tiếp dân, xử lý đơn thư khiếu nại, tố cáo</t>
  </si>
  <si>
    <t>- Tiền công lao động theo ngày thực tế của Đại biểu hoạt động không chuyên trách không hưởng lương</t>
  </si>
  <si>
    <t>- Chi khác (nhiên liệu, phương tiện cho hoạt động giám sát, tiếp xúc cử tri, tham dự các cuộc họp và học tập kinh nghiệm)</t>
  </si>
  <si>
    <t>Phòng Nông nghiệp và Phát triển Nông thôn</t>
  </si>
  <si>
    <t>Phòng Tư pháp</t>
  </si>
  <si>
    <t>- Chi triển khai văn bản pháp luật</t>
  </si>
  <si>
    <t>- Chi tập huấn nghiệp vụ hòa giải (01 cuộc, 02 ngày)</t>
  </si>
  <si>
    <t>- Chi tuyên truyền pháp luật theo phiên toà lưu động</t>
  </si>
  <si>
    <t>- Tập huấn nghiệp vụ xử phạt vi phạm hành chính và ban hành văn bản quy phạm pháp luật</t>
  </si>
  <si>
    <t>- Chi hợp đồng chuyên mục pháp luật trên sóng phát thanh</t>
  </si>
  <si>
    <t>- Công tác rà soát văn bản quy phạm pháp luật hàng năm và hoạt động của Hội đồng phối hợp phổ biến giáo dục pháp luật</t>
  </si>
  <si>
    <t>- Chi mua sổ, sách hộ tịch do Bộ Tư pháp phát hành và túi hồ sơ theo dõi công tác đăng ký hộ tịch cấp Huyện, xã</t>
  </si>
  <si>
    <t>- Tuyên truyền ngày pháp luật nước CHXHCNVN 9/11</t>
  </si>
  <si>
    <t>- Họp hội đồng đánh giá chuẩn tiếp cận pháp luật theo Quyết định 25/2021/QĐ-TTg; Thông tư 09/TT-BTP của Bộ Tư pháp.</t>
  </si>
  <si>
    <r>
      <t>- Chi hỗ trợ cán bộ, công chức làm công tác kiểm tra, đánh giá các văn bản, tài liệu trong hồ sơ xử phạt hành chính có nội dung phức tạp (</t>
    </r>
    <r>
      <rPr>
        <i/>
        <sz val="12"/>
        <rFont val="Times New Roman"/>
        <family val="1"/>
      </rPr>
      <t>theo Nghị quyết 130/2017/NQ-HĐND</t>
    </r>
    <r>
      <rPr>
        <sz val="12"/>
        <rFont val="Times New Roman"/>
        <family val="1"/>
      </rPr>
      <t>)</t>
    </r>
  </si>
  <si>
    <t>- Hội nghị tổng kết tư pháp và trao kỷ niệm chương Vì sự nghiệp Tư pháp của Bộ Tư pháp</t>
  </si>
  <si>
    <t>- Tập huấn Hộ tịch và chứng thực</t>
  </si>
  <si>
    <t>Phòng Kinh tế và Hạ tầng</t>
  </si>
  <si>
    <t>- Chi công tác xúc tiến thương mại, tiềm kiếm thị trường</t>
  </si>
  <si>
    <t>- Kinh phí Thi sáng tạo thanh thiếu niên nhi đồng</t>
  </si>
  <si>
    <t>- Kinh phí Bình chọn sản phẩm nông thôn tiêu biểu</t>
  </si>
  <si>
    <t>- Kinh phí mua giấy màu in giấy phép xây dựng, khí hóa lỏng</t>
  </si>
  <si>
    <t>- Mua 01 máy in</t>
  </si>
  <si>
    <t>Phòng Tài chính - Kế hoạch</t>
  </si>
  <si>
    <t>- Chi công tác lập, thảo luận phân bổ dự toán NSNN, thẩm tra quyêt toán NSNN, tổng hợp BC tình hình KTXH, ngân sách. Chi tổ chức các hội nghị: sơ kết, tổng kết công tác đầu tư XDCB, ngân sách; tập huấn, kiểm tra công tác tài chinh ngành Huyện, xã.</t>
  </si>
  <si>
    <t>- Thuê đường truyền cáp quang; Trang bị phần mềm virus phục vụ vận hành Tabmis</t>
  </si>
  <si>
    <t>- KP thực hiện chế độ báo cáo giá thị trường, hàng hóa và tổ kiểm tra niêm yết giá trên địa bàn Huyện</t>
  </si>
  <si>
    <t>- Chi hoạt động thanh lý tài sản và phí bảo trì phần mềm quản lý tài sản trực tuyến của Huyện</t>
  </si>
  <si>
    <t>- Chi thuê kênh truyền, thiết bị Hạ tầng truyền thông do Bộ Tài chính đầu tư mua sắm đặt tại Sở Tài chính</t>
  </si>
  <si>
    <t>- Chi phục vụ công tác cấp Giấy chứng nhận Đăng ký kinh doanh</t>
  </si>
  <si>
    <t>- Kinh phí hoạt động Đảng ủy Khối Kinh tế</t>
  </si>
  <si>
    <t>- Nâng cấp, sửa máy vi tính, máy chủ QLNS (vận hành Tabmis)</t>
  </si>
  <si>
    <t>- 02 máy điều hòa</t>
  </si>
  <si>
    <t>Phòng Giáo dục và Đào tạo</t>
  </si>
  <si>
    <t xml:space="preserve"> Phòng Y tế</t>
  </si>
  <si>
    <t>- Kinh phí kiểm tra hành nghề y dược, y học cổ truyền, mỹ phẩm và an toàn thực phẩm</t>
  </si>
  <si>
    <t>Phòng Lao động - Thương binh và Xã hội</t>
  </si>
  <si>
    <t>Phòng Văn hóa và Thông tin</t>
  </si>
  <si>
    <t>- Kinh phí xây dựng đời sống văn hóa và gia đình</t>
  </si>
  <si>
    <t>- Hoạt động du lịch</t>
  </si>
  <si>
    <t>SN Kinh tế</t>
  </si>
  <si>
    <t>- Kinh phí tổ chức ngày chạy Olympic vì sức khỏe toàn dân</t>
  </si>
  <si>
    <t>- Kinh phí Chúc mừng cơ quan báo chí nhân ngày báo chí Việt Nam</t>
  </si>
  <si>
    <t>- Kinh phí viếng lăng cụ Phó Bản Nguyễn Sinh Sắc nhân ngày giỗ</t>
  </si>
  <si>
    <t>Phòng Tài nguyên và Môi trường</t>
  </si>
  <si>
    <t>- Chi thực hiện công tác xác minh khiếu nại, tranh chấp đất đai</t>
  </si>
  <si>
    <t>- Lập Kế hoạch sử dụng đất năm 2024 cấp Huyện</t>
  </si>
  <si>
    <t>- Tạm giao dự toán chi phí thực hiện các cuộc cưỡng chế trong năm</t>
  </si>
  <si>
    <t>Phòng Nội vụ</t>
  </si>
  <si>
    <t>- Chi công tác cải cách hành chính</t>
  </si>
  <si>
    <t>- Tập huấn văn thư lưu trữ</t>
  </si>
  <si>
    <t>- KP thực hiện chỉnh lý tài tồn đọng, tích đống từ năm 2015 trở về trước của phòng TCKH</t>
  </si>
  <si>
    <r>
      <t xml:space="preserve">- KP phục vụ công tác trao Quyết định công tác cán bộ </t>
    </r>
    <r>
      <rPr>
        <i/>
        <sz val="12"/>
        <rFont val="Times New Roman"/>
        <family val="1"/>
      </rPr>
      <t>(khung Quyết định, hoa tươi, in màu)</t>
    </r>
  </si>
  <si>
    <t>Thanh tra huyện</t>
  </si>
  <si>
    <t>- Tập huấn nghiệp vụ</t>
  </si>
  <si>
    <t>- Công tác tiếp dân, xử lý đơn</t>
  </si>
  <si>
    <t>- Chi trang phục cán bộ, thanh tra viên</t>
  </si>
  <si>
    <t>- Chi tiếp các đoàn công tác của Thanh tra cấp trên</t>
  </si>
  <si>
    <t>II</t>
  </si>
  <si>
    <t>KHỐI ĐOÀN THỂ</t>
  </si>
  <si>
    <t>Ủy ban Mặt trận Tổ quốc</t>
  </si>
  <si>
    <t>- Chi hoạt động tiếp xúc cử tri của HĐND</t>
  </si>
  <si>
    <t>- Chi hoạt động thanh tra nhân dân</t>
  </si>
  <si>
    <t>- Chi hoạt động giám sát đầu tư cộng đồng</t>
  </si>
  <si>
    <t xml:space="preserve"> - Chi công tác truyền, vận động tấn công chính trị các nhóm phần tử cực đoan lợi dụng tôn giáo hoạt động trái phép</t>
  </si>
  <si>
    <r>
      <t>- Chi hỗ trợ kinh phí từ nguồn ngân sách nhà nước cho tổ chức tôn giáo, chức sắc, chức việc tôn giáo và cốt cán phong trào trong tôn giáo trên địa bàn (</t>
    </r>
    <r>
      <rPr>
        <i/>
        <sz val="12"/>
        <rFont val="Times New Roman"/>
        <family val="1"/>
      </rPr>
      <t>Theo Quyết định số 10/2016/QĐ-UBND ngày 17/10/2016 của UBND tỉnh Đồng Tháp</t>
    </r>
    <r>
      <rPr>
        <sz val="12"/>
        <rFont val="Times New Roman"/>
        <family val="1"/>
      </rPr>
      <t>)</t>
    </r>
  </si>
  <si>
    <t>- Chi hoạt động Ngày vì người nghèo</t>
  </si>
  <si>
    <t>- Công tác tiếp dân và xử lý đơn thư khiếu nại, tố cáo, kiến nghị, phản ánh của UBMTTQVN các cấp</t>
  </si>
  <si>
    <t>- Họp mặt các cơ sở tôn giáo đầu năm</t>
  </si>
  <si>
    <t>- Chi hoạt động các hội quán</t>
  </si>
  <si>
    <t>Đoàn Thanh niên</t>
  </si>
  <si>
    <t>- Chi tham gia các hoạt động và hội thi cấp tỉnh</t>
  </si>
  <si>
    <t>- Chương trình phối hợp với UBND Huyện tổ chức hoạt động giao lưu với các Huyện khác</t>
  </si>
  <si>
    <t>- Chi tổ chức các hoạt động thể dục thể thao  nhân các ngày lễ lớn</t>
  </si>
  <si>
    <t>- Chi tổ chức và tham gia Hoạt động Vòng tay tình nguyện cụm đoàn phía nam Sông Tiền</t>
  </si>
  <si>
    <t>- Hỗ trợ hoạt động cho các Chi hội Sinh viên Châu Sa tại Đại hội các Chi hội</t>
  </si>
  <si>
    <t>Hội Liên hiệp Phụ nữ</t>
  </si>
  <si>
    <r>
      <t>- Chương trình "</t>
    </r>
    <r>
      <rPr>
        <i/>
        <sz val="12"/>
        <rFont val="Times New Roman"/>
        <family val="1"/>
      </rPr>
      <t>Mẹ đỡ đầu</t>
    </r>
    <r>
      <rPr>
        <sz val="12"/>
        <rFont val="Times New Roman"/>
        <family val="1"/>
      </rPr>
      <t>" hỗ trợ chăm sóc, nuôi dưỡng trẻ em mồ coi do tác động đại dịch Covid-19 (</t>
    </r>
    <r>
      <rPr>
        <i/>
        <sz val="12"/>
        <rFont val="Times New Roman"/>
        <family val="1"/>
      </rPr>
      <t>thăm tặng quà cho trẻ em mồ coi nhân ngày 01/6</t>
    </r>
    <r>
      <rPr>
        <sz val="12"/>
        <rFont val="Times New Roman"/>
        <family val="1"/>
      </rPr>
      <t>)</t>
    </r>
  </si>
  <si>
    <r>
      <t>- Thực hiện Kế hoạch số 150/KH-UBND ngày 08/08/2018 đề án "</t>
    </r>
    <r>
      <rPr>
        <i/>
        <sz val="12"/>
        <rFont val="Times New Roman"/>
        <family val="1"/>
      </rPr>
      <t>Tuyên truyền, giáo dục, vận động, hỗ trợ phụ nữ tham gia giải quyết một số vấn đề xã hội liên quan đến phụ nữ</t>
    </r>
    <r>
      <rPr>
        <sz val="12"/>
        <rFont val="Times New Roman"/>
        <family val="1"/>
      </rPr>
      <t>" giai đoạn 2017-2027 trên địa bàn Huyện</t>
    </r>
  </si>
  <si>
    <t>- Tổ chức Lễ phát động cộng đồng chung tay phòng chống dịch bệnh; Tọa đàm vệ sinh an toàn thực phẩm; Phòng chống tai nạn thương tích, đuối nước</t>
  </si>
  <si>
    <t>- Thực hiện 01 công trình/phần việc góp phần xây dựng nông thôn mới nâng cao, nông thôn mới kiểu mẫu, giai đoạn 2021-2025 (Thực hiện đoạn đường 3 sạch, kiểu mẫu)</t>
  </si>
  <si>
    <t>Hội Nông dân</t>
  </si>
  <si>
    <t>- Tuyên truyền về Nghị quyết Đại hội Hội nông dân các cấp</t>
  </si>
  <si>
    <t>- Kinh phí hoạt động Đảng ủy Khối Dân vận</t>
  </si>
  <si>
    <t>Hội Cựu chiến binh</t>
  </si>
  <si>
    <t>- Tổ chức Hội nghị tập huấn chuyên ngành cho cán bộ chi, tổ, hội</t>
  </si>
  <si>
    <t>- Họp mặt Ban liên lạc truyền thống lực lượng vũ trang huyện Châu Thành năm 2023</t>
  </si>
  <si>
    <r>
      <t>- Thực hiện quy chế giám sát và phản biện xã hội theo Nghị quyết 217-QĐ/TW; giám sát thực hiện một số chế độ ưu đãi của Nhà nước đối với Cựu chiến binh (</t>
    </r>
    <r>
      <rPr>
        <i/>
        <sz val="12"/>
        <rFont val="Times New Roman"/>
        <family val="1"/>
      </rPr>
      <t>thực hiện 2 nội dung: phản biện XH, chế độ ưu đãi</t>
    </r>
    <r>
      <rPr>
        <sz val="12"/>
        <rFont val="Times New Roman"/>
        <family val="1"/>
      </rPr>
      <t>)</t>
    </r>
  </si>
  <si>
    <t>- Tập huấn kỹ năng công tác tuyên truyền nắm bắt tình hình dư luận xã hội</t>
  </si>
  <si>
    <t>- Mua 01 máy vi tính</t>
  </si>
  <si>
    <t xml:space="preserve">Liên đoàn lao động </t>
  </si>
  <si>
    <t>- Hỗ trợ kinh phí tổ chức các hoạt động văn hóa, thể thao</t>
  </si>
  <si>
    <t>III</t>
  </si>
  <si>
    <t>ĐƠN VỊ SỰ NGHIỆP</t>
  </si>
  <si>
    <t>Chi sự nghiệp giáo dục và đào tạo</t>
  </si>
  <si>
    <t>Sự nghiệp giáo dục</t>
  </si>
  <si>
    <t xml:space="preserve">- Hỗ trợ kinh phí chi thêm giờ và trang phục cho giáo viên thể dục </t>
  </si>
  <si>
    <t>- Hỗ trợ tiền ăn trưa cho trẻ 3,4,5 tuổi theo Nghị định 06 của Chính phủ</t>
  </si>
  <si>
    <t>- Chi chính sách cho học sinh khuyết tật</t>
  </si>
  <si>
    <t>Sự nghiệp đào tạo và dạy nghề</t>
  </si>
  <si>
    <t>- Trung tâm Giáo dục nghề nghiệp</t>
  </si>
  <si>
    <t>- Sữa chữa trang thiết thiết bị văn phòng</t>
  </si>
  <si>
    <t>- Sửa chữa cơ sở vật chất và phòng học</t>
  </si>
  <si>
    <t>- Mua 03 máy vi tính để bàn</t>
  </si>
  <si>
    <t xml:space="preserve">- Chi phí mở các lớp theo Kế hoạch năm </t>
  </si>
  <si>
    <t>- Thực hiện cuộc điều tra dư luận xã hội về mức độc tác động Nghị quyết trong cán bộ, Đảng viên và nhân dân</t>
  </si>
  <si>
    <t>Trung tâm Văn hóa- Thể thao và Truyền thanh</t>
  </si>
  <si>
    <t>- Chi các hoạt động lĩnh vực TDTT</t>
  </si>
  <si>
    <t>- Chương trình phổ cập bơi</t>
  </si>
  <si>
    <t>- Chi các hoạt động của Đội TTLĐ</t>
  </si>
  <si>
    <t>- Chi các hoạt động lĩnh vực phát thanh</t>
  </si>
  <si>
    <t>- Mua 05 tai nghe</t>
  </si>
  <si>
    <t>- Mua 05 bàn làm việc</t>
  </si>
  <si>
    <t>- Sữa chữa trang thiết bị chuyên dùng</t>
  </si>
  <si>
    <t>Trung tâm dịch vụ Nông nghiệp</t>
  </si>
  <si>
    <t>IV</t>
  </si>
  <si>
    <t>TỔ CHỨC HỘI ĐẶC THÙ</t>
  </si>
  <si>
    <t>Hội Chữ Thập đỏ</t>
  </si>
  <si>
    <t>- Kinh phí hoạt động hiến máu nhân đạo</t>
  </si>
  <si>
    <t>- 01 máy in</t>
  </si>
  <si>
    <t>Hội Khuyến học và Cựu giáo chức</t>
  </si>
  <si>
    <t>Hội Người cao tuổi</t>
  </si>
  <si>
    <t>Hội Luật gia</t>
  </si>
  <si>
    <t>V</t>
  </si>
  <si>
    <t>AN NINH - QUỐC PHÒNG</t>
  </si>
  <si>
    <t>Công an Huyện</t>
  </si>
  <si>
    <t>- Hỗ trợ tiền ăn cho Công an xã tập huấn nghiệp vụ</t>
  </si>
  <si>
    <t>- Ngày hội toàn dân bảo vệ An ninh Tổ quốc</t>
  </si>
  <si>
    <t>-------------</t>
  </si>
  <si>
    <t xml:space="preserve">   UBND HUYỆN CHÂU THÀNH</t>
  </si>
  <si>
    <t>PHÒNG TÀI CHÍNH- KẾ HOẠCH</t>
  </si>
  <si>
    <t>TỔNG HỢP TÌNH HÌNH SỬ DỤNG KINH PHÍ GIAO KHÔNG TỰ CHỦ NĂM 2023</t>
  </si>
  <si>
    <t>Khoản</t>
  </si>
  <si>
    <t>C</t>
  </si>
  <si>
    <r>
      <t xml:space="preserve">Năm 2022 chuyển sang </t>
    </r>
    <r>
      <rPr>
        <sz val="12"/>
        <rFont val="Times New Roman"/>
        <family val="1"/>
      </rPr>
      <t>(MN15)</t>
    </r>
  </si>
  <si>
    <t>Dự toán được sử dụng trong năm</t>
  </si>
  <si>
    <t>Bổ sung, điều chỉnh trong năm</t>
  </si>
  <si>
    <t>Dự toán giao đầu năm</t>
  </si>
  <si>
    <t>Tổng cộng</t>
  </si>
  <si>
    <t>Thực hiện đến 30/9/2023</t>
  </si>
  <si>
    <t>Còn lại</t>
  </si>
  <si>
    <t>Trong đó</t>
  </si>
  <si>
    <t>Tiếp tục sử dụng</t>
  </si>
  <si>
    <t>Hết nhiệm vụ chi</t>
  </si>
  <si>
    <t>Ghi chú</t>
  </si>
  <si>
    <t>-</t>
  </si>
  <si>
    <t>BQL. Công trình công cộng</t>
  </si>
  <si>
    <t>098</t>
  </si>
  <si>
    <t>4=1+2+3</t>
  </si>
  <si>
    <t>6=4-5</t>
  </si>
  <si>
    <t>8=6-7</t>
  </si>
  <si>
    <t>TỔNG CỘNG</t>
  </si>
  <si>
    <t>MN Hoa Hồng</t>
  </si>
  <si>
    <t>Chính sách giáo dục người khuyết tật</t>
  </si>
  <si>
    <t>Ăn trưa cho trẻ 3-5 tuổi</t>
  </si>
  <si>
    <t>Sửa chữa cơ sở vật chất</t>
  </si>
  <si>
    <t>Mua sắm thiết bị</t>
  </si>
  <si>
    <t>071</t>
  </si>
  <si>
    <t>MG An Nhơn</t>
  </si>
  <si>
    <t>MG Tân Bình</t>
  </si>
  <si>
    <t>MG Nha Mân</t>
  </si>
  <si>
    <t>MG Tân Nhuận Đông</t>
  </si>
  <si>
    <t>MG Tân Phú Trung</t>
  </si>
  <si>
    <t>MG Phú Hựu</t>
  </si>
  <si>
    <t>MG An Phú Thuận</t>
  </si>
  <si>
    <t>MG An Khánh</t>
  </si>
  <si>
    <t>MN An Khánh A</t>
  </si>
  <si>
    <t>MG Hòa Tân</t>
  </si>
  <si>
    <t>MG Phú Long</t>
  </si>
  <si>
    <t>MG Tân Phú</t>
  </si>
  <si>
    <t>MG An Hiệp</t>
  </si>
  <si>
    <t>072</t>
  </si>
  <si>
    <t>TH An Phú Thuận 1</t>
  </si>
  <si>
    <t>TH An Phú Thuận 2</t>
  </si>
  <si>
    <t>TH An Khánh 2</t>
  </si>
  <si>
    <t>TH An Khánh 1</t>
  </si>
  <si>
    <t>TH Phú Hựu</t>
  </si>
  <si>
    <t>TH An Nhơn</t>
  </si>
  <si>
    <t>TH Nha Mân 1</t>
  </si>
  <si>
    <t>TH Nha Mân 2</t>
  </si>
  <si>
    <t>TH Hòa Tân 1</t>
  </si>
  <si>
    <t>TH Hòa Tân 2</t>
  </si>
  <si>
    <t>TH Phú Long</t>
  </si>
  <si>
    <t>TH Tân Xuân</t>
  </si>
  <si>
    <t>TH Bình Tiên 1</t>
  </si>
  <si>
    <t>TH Tân Phú Trung</t>
  </si>
  <si>
    <t>TH An Hiệp</t>
  </si>
  <si>
    <t>073</t>
  </si>
  <si>
    <t>THCS Tân Nhuận Đông</t>
  </si>
  <si>
    <t>THCS Cái Tàu Hạ</t>
  </si>
  <si>
    <t>THCS An Phú Thuận</t>
  </si>
  <si>
    <t>THCS An Khánh</t>
  </si>
  <si>
    <t>THCS An Nhơn</t>
  </si>
  <si>
    <t>THCS Phú Long</t>
  </si>
  <si>
    <t>THCS Hòa Tân</t>
  </si>
  <si>
    <t>THCS An Hiệp</t>
  </si>
  <si>
    <t>THCS Tân Bình</t>
  </si>
  <si>
    <t>THCS Phú Hựu</t>
  </si>
  <si>
    <t>BQL. Dự án- Phát triển quỹ đất</t>
  </si>
  <si>
    <t>VI</t>
  </si>
  <si>
    <t>UBND xã Tân Bình</t>
  </si>
  <si>
    <t>ĐƠN VỊ KHÁC</t>
  </si>
  <si>
    <t>VP. Huyện ủy</t>
  </si>
  <si>
    <t>- Hỗ trợ kinh phí do trả nợ trước hạn đối với nền nhà trả chậm cụm dân cư Xẻo Vạt</t>
  </si>
  <si>
    <t>UBND xã An Nhơn</t>
  </si>
  <si>
    <t>- Xây dựng công trình Nhà văn hóa ấp Tân Hòa</t>
  </si>
  <si>
    <t>UBND xã An Phú Thuận</t>
  </si>
  <si>
    <t>- Cải tạo trụ sở làm việc UBND xã An Phú Thuận</t>
  </si>
  <si>
    <t>- Xây dựng Bộ phận tiếp nhận và trả kết quả, nhà xe</t>
  </si>
  <si>
    <t>UBND xã Hòa Tân</t>
  </si>
  <si>
    <t>- Thực hiện lập đồ án điều chỉnh cục bộ quy hoạch chi tiết cụm dân cư trung tâm xã Hòa Tân</t>
  </si>
  <si>
    <t xml:space="preserve">- Khắc phục sụp cống (Nguyễn Văn Thời) trên tuyến Đường Giồng Nổi </t>
  </si>
  <si>
    <t>UBND xã Tân Phú Trung</t>
  </si>
  <si>
    <t>- Xây dựng Nhà văn hóa ấp Tân Mỹ</t>
  </si>
  <si>
    <t>Viện kiểm sát</t>
  </si>
  <si>
    <t>Chi cục thi hành án</t>
  </si>
  <si>
    <t>- Chi công tác tuyển quân năm 2023</t>
  </si>
  <si>
    <t>UBND xã Tân Phú</t>
  </si>
  <si>
    <t>UBND xã Phú Long</t>
  </si>
  <si>
    <t>UBND xã An Hiệp</t>
  </si>
  <si>
    <t>UBND TT. Cái Tàu Hạ</t>
  </si>
  <si>
    <t>UBND xã Phú Hựu</t>
  </si>
  <si>
    <t>UBND xã An Khánh</t>
  </si>
  <si>
    <t>UBND xã Tân Nhuận Đông</t>
  </si>
  <si>
    <t>- Bảo vệ, quản lý tài sản sau khi cưỡng chế thi hành án dân sự khu đất bãi bồi xã An Nhơn</t>
  </si>
  <si>
    <t>- Di dời ngôi mộ thuộc công trình trường tiểu học An Khánh 1 (điểm chính)</t>
  </si>
  <si>
    <t>011</t>
  </si>
  <si>
    <t>- Đối dứng xây dựng cầu ngang Ngọc Ông Yên (ấp Tân Hòa- Tân Thanh)</t>
  </si>
  <si>
    <t>- Nâng cấp, sửa chữa công trình khu hành chính xã Tân Bình (hạng mục: cổng hàng rào + sân đan + rãnh thoát nước + san lấp mặt bằng)</t>
  </si>
  <si>
    <t>041</t>
  </si>
  <si>
    <t>- Đối ứng xây dựng công trình cầu Vàm Xẻo Ông Son, ấp Phú Bình</t>
  </si>
  <si>
    <t>- Thực hiện quy hoạch chi tiết Trung tâm xã An Khánh</t>
  </si>
  <si>
    <t>- Tổ chức ngày Hội trái cây Sầu Riêng năm 2023</t>
  </si>
  <si>
    <t>- Thực hiện di dời đường dây trung, hạ thế và trạm biến áp nhánh rẽ Kênh Thầy Năm</t>
  </si>
  <si>
    <t>- Đối ứng xây dựng công trình cầu Thủy Lợi - Rạch Miễu</t>
  </si>
  <si>
    <t>- Đối ứng xây dựng công trình cầu Thủy Lợi - Cây Trâm</t>
  </si>
  <si>
    <t>- Đối ứng xây dựng cầu Đìa Dừng</t>
  </si>
  <si>
    <t>- Đối ứng xây dựng cầu Kênh 19/5</t>
  </si>
  <si>
    <t>- Tổ chức điểm Ngày hội toàn dân bảo vệ an ninh Tổ quốc năm 2023</t>
  </si>
  <si>
    <t>Chi cục Thống kê</t>
  </si>
  <si>
    <t>- Thực hiện các mô hình đảm bảo an toàn PCCC và cứu nạn, cứu hộ</t>
  </si>
  <si>
    <t>- Tổ chức Lễ công bố xã đạt chuẩn nông thôn mới nâng cao năm 2022</t>
  </si>
  <si>
    <t>- Tổ chức ngày Hội Khoai lang năm 2023</t>
  </si>
  <si>
    <t>- Hỗ trợ tiền ăn đối với người điều trị (F0), cách ly y tế (F1) tại các khu cách ly y tế tập trung năm 2021</t>
  </si>
  <si>
    <t>- Chi diễn tập khu vực phòng thủ</t>
  </si>
  <si>
    <t>- Khắc phục 04 đoạn sạt lỡ (02 đoạn ô bao số 4, ô bao số 5, Ô bao số 4 tuyến đường Xẻo Sâu)</t>
  </si>
  <si>
    <t>- Khắc phục 02 đoạn sạt lỡ (Vàm Xóm Cưỡi, Rạch Xẻo Mát- Cái Vồn)</t>
  </si>
  <si>
    <t>- Gia cố 03 đoạn sạt lở tuyến đường Rau Cần tuyến phụ thuộc ấp Phú Bình</t>
  </si>
  <si>
    <t>- Thực hiện chính sách tích tụ, tập trung đất đai theo Nghị quyết 138/2017/NQ-HĐND trên địa bàn tỉnh năm 2021 và năm 2022</t>
  </si>
  <si>
    <t>- Hỗ trợ chế độ đào tạo, bồi dưỡng cho cán bộ, công chức, viên chức năm 2023 (đợt 1)</t>
  </si>
  <si>
    <t>- Trích 3% phục vụ công tác thu tiền nền nhà trả chậm cụm dân cư</t>
  </si>
  <si>
    <t xml:space="preserve">   + 0502</t>
  </si>
  <si>
    <t xml:space="preserve">   + NS Huyện đối ứng</t>
  </si>
  <si>
    <t xml:space="preserve">- KP Chương trình MTQG XDNTM: </t>
  </si>
  <si>
    <t xml:space="preserve">   + NS Tỉnh</t>
  </si>
  <si>
    <t xml:space="preserve">   + 0498</t>
  </si>
  <si>
    <t xml:space="preserve">   + 0497</t>
  </si>
  <si>
    <t>- SN. Môi trường: trang bị thùng rác</t>
  </si>
  <si>
    <t>- SN. Giao thông: XD cầu Hai Long, Bảy Thợ 2</t>
  </si>
  <si>
    <t>- SN. Giao thông: XD cầu Cây Vong</t>
  </si>
  <si>
    <t>- SN. Giao thông: XD cầu Đìa Rúng</t>
  </si>
  <si>
    <t>- SN. Giao thông: XD cầu Cồn Mới</t>
  </si>
  <si>
    <t>- SN. Giao thông: XD cầu Ranh, Kênh Ông Tà, cầu Minh Nhật</t>
  </si>
  <si>
    <t>- SN. Giao thông: XD cầu ngang Rạch Ông Đại; cầu Ngang Rạch Cả Ngỗ; cầu Ngang rạch Cầu Lớn</t>
  </si>
  <si>
    <t>- SN. Giao thông: XD cầu Đường Cày</t>
  </si>
  <si>
    <t>- SN. Nông nghiệp- TL</t>
  </si>
  <si>
    <t>- SN.NN-TL: Trang bị tivi cho Hội quán Hương Sầu Riêng</t>
  </si>
  <si>
    <t xml:space="preserve">- SN.NN-TL: Trang bị tivi cho Hội quán Tân Tâm Hội quán </t>
  </si>
  <si>
    <t>- KP. ĐBXH</t>
  </si>
  <si>
    <t>- ĐBXH: Tiền điện hộ nghèo</t>
  </si>
  <si>
    <t>STT</t>
  </si>
  <si>
    <t>Tabmis Chi</t>
  </si>
  <si>
    <t>- BSMT theo dự toán đầu năm</t>
  </si>
  <si>
    <t>- Chi tiết nguồn nào ? (Thủy lợi phí, đất trồng lúa,…)</t>
  </si>
  <si>
    <t>075</t>
  </si>
  <si>
    <t>- Trung tâm Chính trị</t>
  </si>
  <si>
    <t>041-LCT</t>
  </si>
  <si>
    <t>DT</t>
  </si>
  <si>
    <t>QT</t>
  </si>
  <si>
    <t>TH Cái Tàu Hạ</t>
  </si>
  <si>
    <t>Cấp bù học phí theo Nghị định số 81/2021/NĐ-CP</t>
  </si>
  <si>
    <t>Chi khác</t>
  </si>
  <si>
    <t>- Hỗ trợ do trả nợ trước hạn cụm dân cư Hang Mai</t>
  </si>
  <si>
    <t>- KP nâng cấp cứng hóa ô bao số 6 (Thủy lợi phí, SP DV công ích)</t>
  </si>
  <si>
    <t>- SN. Giao thông: XD cầu Nguyễn Văn Nghĩa</t>
  </si>
  <si>
    <t>- SN. Giao thông: Đường đấu nối Nguyễn Văn Voi- rạch Cái Gia Nhỏ</t>
  </si>
  <si>
    <t>- Thủy lợi phí, đất trồng lúa</t>
  </si>
  <si>
    <t>Đơn vị thực hiện</t>
  </si>
  <si>
    <t>Số tiền</t>
  </si>
  <si>
    <r>
      <rPr>
        <b/>
        <i/>
        <sz val="12"/>
        <rFont val="Times New Roman"/>
        <family val="1"/>
      </rPr>
      <t xml:space="preserve">Trong đó: </t>
    </r>
    <r>
      <rPr>
        <b/>
        <sz val="12"/>
        <rFont val="Times New Roman"/>
        <family val="1"/>
      </rPr>
      <t>Phân theo lĩnh vực</t>
    </r>
  </si>
  <si>
    <t>Chi An ninh</t>
  </si>
  <si>
    <t>Chi Quốc phòng</t>
  </si>
  <si>
    <t>Chi SN kinh tế</t>
  </si>
  <si>
    <t>Chi ĐBXH</t>
  </si>
  <si>
    <t>Bổ sung có mục tiêu cho xã</t>
  </si>
  <si>
    <t>1=2+…+8</t>
  </si>
  <si>
    <t>D</t>
  </si>
  <si>
    <t>VP. UBND Huyện</t>
  </si>
  <si>
    <t>TỔNG SỐ</t>
  </si>
  <si>
    <t>Thanh tra Huyện</t>
  </si>
  <si>
    <t>Phòng LĐ-TB&amp;XH</t>
  </si>
  <si>
    <t>Đơn vị</t>
  </si>
  <si>
    <t>Dự toán giao không tự chủ trong năm</t>
  </si>
  <si>
    <t>Đơn vị ngành huyện</t>
  </si>
  <si>
    <t>Dự phòng ĐBXH</t>
  </si>
  <si>
    <t>Đơn vị ngành huyện và các đơn vị trường học</t>
  </si>
  <si>
    <t>Dự phòng SN. Kiến thiết thị chính</t>
  </si>
  <si>
    <t>SN Giáo dục- ĐT</t>
  </si>
  <si>
    <t>SN Văn hóa</t>
  </si>
  <si>
    <t>QLNN</t>
  </si>
  <si>
    <t>Chi #</t>
  </si>
  <si>
    <t>SN. KT</t>
  </si>
  <si>
    <t>SNGD</t>
  </si>
  <si>
    <t>SN.VH</t>
  </si>
  <si>
    <t>AN</t>
  </si>
  <si>
    <t>Hội Chữ thập đỏ</t>
  </si>
  <si>
    <t>BCH. Quân sự</t>
  </si>
  <si>
    <t>Tổ chức Hội nghị tổng kết 12 năm thực hiện Chỉ thị số 124-CT/QUTW; Sửa chữa xe ô tô, phòng họp, thay mới bảng tên cổng chính</t>
  </si>
  <si>
    <t>228/QĐ-UBND ngày 06/4/2023</t>
  </si>
  <si>
    <t>Đối dứng xây dựng cầu ngang Ngọc Ông Yên, ấp Tân Hòa- Tân Thanh</t>
  </si>
  <si>
    <t>259/QĐ-UBND ngày 20/4/2023</t>
  </si>
  <si>
    <t>Phòng Nội vụ Huyện</t>
  </si>
  <si>
    <t>Duy tu, sửa chữa các cơ quan trong khu hành chính Huyện</t>
  </si>
  <si>
    <t>263/QĐ-UBND ngày 20/4/2023</t>
  </si>
  <si>
    <t>Phòng Văn hóa &amp;TT</t>
  </si>
  <si>
    <t>Phòng Tài nguyên- MT</t>
  </si>
  <si>
    <t>Bảo trì, bảo dưỡng xe ô tô</t>
  </si>
  <si>
    <t>224/QĐ-UBND ngày 06/4/2023</t>
  </si>
  <si>
    <t>Hỗ trợ công tác mở đợt cao điểm tấn công, trấn áp tội phạm và bảo đảm an ninh trật tự tết nguyên đán Quý Mão, Lễ 30/04 và 01/05/2023</t>
  </si>
  <si>
    <t>411/QĐ-UBND ngày 30/5/2023</t>
  </si>
  <si>
    <t>Đối ứng xây dựng công trình cầu Vàm Xẻo Ông Son, ấp Phú Bình</t>
  </si>
  <si>
    <t>423/QĐ-UBND ngày 05/6/2023</t>
  </si>
  <si>
    <t>BQL. Dự án- PTQĐ</t>
  </si>
  <si>
    <t>Mua sắm máy Quét mã QRcode căn cước công dân và thiết bị phục vụ công tác chuyên môn tại bộ phận nhận và trả kết quả Huyện</t>
  </si>
  <si>
    <t>442/QĐ-UBND ngày 12/6/2023</t>
  </si>
  <si>
    <t>Nâng cấp, mở rộng Kho lưu trữ tập trung Huyện</t>
  </si>
  <si>
    <t>446/QĐ-UBND ngày 13/6/2023</t>
  </si>
  <si>
    <t xml:space="preserve">Chi công tác xây dựng và ban hành văn bản quy phạm pháp luật </t>
  </si>
  <si>
    <t>453/QĐ-UBND ngày 15/6/2023</t>
  </si>
  <si>
    <t>Đối ứng xây dựng công trình cầu Thủy Lợi - Rạch Miễu</t>
  </si>
  <si>
    <t>UBND xã Tân phú Trung</t>
  </si>
  <si>
    <t>468/QĐ-UBND ngày 19/6/2023</t>
  </si>
  <si>
    <t>Đối ứng xây dựng cầu Kênh 19/5</t>
  </si>
  <si>
    <t>472/QĐ-UBND ngày 20/6/2023</t>
  </si>
  <si>
    <t>Mua sắm bản quyền phần mềm hỗ trợ thủ tục hành chính và kinh doanh trong cải cách hành chính</t>
  </si>
  <si>
    <t>470/QĐ-UBND ngày 20/6/2023</t>
  </si>
  <si>
    <t>Trang bị trang phục ngành thanh tra năm 2023</t>
  </si>
  <si>
    <t>483/QĐ-UBND ngày 26/6/2023</t>
  </si>
  <si>
    <t>Tổ chức tiếp nhận học viên của Trường Đại học An ninh nhân dân về tham gia thực tế tại huyện Châu Thành năm 2023</t>
  </si>
  <si>
    <t>Đoàn TNCS.HCM</t>
  </si>
  <si>
    <t>507/QĐ-UBND ngày 30/6/2023</t>
  </si>
  <si>
    <t>Ban ủi tích đống rác và phủ bạt nhựa HDPE tại khu xử lý rác thải Phú Hựu</t>
  </si>
  <si>
    <t>529/QĐ-UBND ngày 11/7/2023</t>
  </si>
  <si>
    <t>Chi SN Môi trường</t>
  </si>
  <si>
    <t>Chi thăm hỏi, tặng quà người có công với cách mạng và gia đình người có công với cách mạng nhân ngày Thương binh- Liệt sĩ năm 2023</t>
  </si>
  <si>
    <t>576/QĐ-UBND ngày 25/7/2023</t>
  </si>
  <si>
    <t>Mua sắm Máy quay phim chuyên dùng</t>
  </si>
  <si>
    <t>TT.Văn hóa- TT&amp;TT</t>
  </si>
  <si>
    <t>574/QĐ-UBND ngày 17/7/2023</t>
  </si>
  <si>
    <t>Phát sinh khối lượng công trình sửa chữa Trụ sở làm việc các ban Đảng</t>
  </si>
  <si>
    <t>554/QĐ-UBND ngày 17/7/2023</t>
  </si>
  <si>
    <t>SN Giáo dục</t>
  </si>
  <si>
    <t>Thuê đơn vị tư vấn khảo sát, định giá đất cụ thể làm cơ sở lập phương án bồi thường công trình Nạo vét, hoàn trả mặt nước cho các hộ dân bị ảnh hưởng thuộc công trình Cụm công nghiệp Tân Lập, xã Tân Nhuận Đông</t>
  </si>
  <si>
    <t>572/QĐ-UBND ngày 21/7/2023</t>
  </si>
  <si>
    <t>Thuê tư vấn khảo sát, định giá đất cụ thể làm cơ sở lập phương án bồi thường công trình Trụ sở UBND xã Tân Nhuận Đông</t>
  </si>
  <si>
    <t>Thuê đơn vị tư vấn khảo sát, thẩm định giá đất hãng nước đá Thanh Bình (cũ)</t>
  </si>
  <si>
    <t>621/QĐ-UBND ngày 04/7/2023</t>
  </si>
  <si>
    <t>Thuê đơn vị đo đạc, tư vấn xác định giá đất Trường Tiểu học Nha Mân 2 (điểm Phú Nhuận)</t>
  </si>
  <si>
    <t>647/QĐ-UBND ngày 16/8/2023</t>
  </si>
  <si>
    <t>Thuê tư vấn khảo sát, định giá đất cụ thể làm cơ sở lập phương án bồi thường Trụ sở UBND xã An Khánh</t>
  </si>
  <si>
    <t>640/QĐ-UBND ngày 14/8/2023</t>
  </si>
  <si>
    <t>Chi  in ấn các loại sơ đồ, bản đồ về hệ thống văn kiện tác chiến, văn kiện động viên, văn kiện cứu hộ, cứu nạn ở các cấp</t>
  </si>
  <si>
    <t>643/QĐ-UBND ngày 15/8/2023</t>
  </si>
  <si>
    <t>Chi đón tiếp, thăm hỏi, chúc mừng đối với một số đối tượng do Ủy ban Mặt trận Tổ quốc Việt nam Huyện</t>
  </si>
  <si>
    <t>UB. MTTQ Việt Nam</t>
  </si>
  <si>
    <t>659/QĐ-UBND ngày 21/8/2023</t>
  </si>
  <si>
    <t xml:space="preserve">Mua sắm tập trung 18 máy tính đã đăng ký lại của năm 2022 </t>
  </si>
  <si>
    <t>654/QĐ-UBND ngày 18/8/2023</t>
  </si>
  <si>
    <t>Thuê dịch vụ trọn gói sử dụng phần mềm phòng họp không giấy VNPT e-Cabinet</t>
  </si>
  <si>
    <t>657/QĐ-UBND ngày 21/8/2023</t>
  </si>
  <si>
    <t>Cải tạo, sửa chữa trụ sở làm việc</t>
  </si>
  <si>
    <t>674/QĐ-UBND ngày 29/8/2023</t>
  </si>
  <si>
    <t>Thuê đo đạc trích lục địa chính thửa đất, tư vấn xác định giá đất Cụm dân cư trung tâm xã Hòa Tân (Trụ sở UBND xã Hòa Tân cũ)</t>
  </si>
  <si>
    <t>655/QĐ-UBND ngày 21/8/2023</t>
  </si>
  <si>
    <t>Tổ chức Hội thi ảnh đẹp với Chủ đề “Châu Thành ngày mới”</t>
  </si>
  <si>
    <t>686/QĐ-UBND ngày 06/9/2023</t>
  </si>
  <si>
    <t>Trang bị vật chất, phụ kiện lắp đặt trên xe Toyota Inova KK-5473</t>
  </si>
  <si>
    <t>685/QĐ-UBND ngày 06/9/2023</t>
  </si>
  <si>
    <t>Mua sắm ghế hội trường đa năng</t>
  </si>
  <si>
    <t>681/QĐ-UBND ngày 05/9/2023</t>
  </si>
  <si>
    <t>Chi SN Văn hóa</t>
  </si>
  <si>
    <t>Sửa chữa, cải tạo Hội trường đa năng thuộc Trung tâm Văn hóa-Thể thao và Truyền thanh Huyện</t>
  </si>
  <si>
    <t>682/QĐ-UBND ngày 06/9/2023</t>
  </si>
  <si>
    <t>Cải tạo, sửa chữa kho lưu trữ</t>
  </si>
  <si>
    <t>713/QĐ-UBND ngày 21/9/2023</t>
  </si>
  <si>
    <t>Tổ chức tập huấn tổ công nghệ số trên địa bàn huyện Châu Thành năm 2023</t>
  </si>
  <si>
    <t>Phòng VH&amp;TT Huyện</t>
  </si>
  <si>
    <t>719/QĐ-UBND ngày 25/9/2023</t>
  </si>
  <si>
    <t>Trợ cấp thôi việc cho ông Lương Hoàng Minh theo Nghị định số 46/2010/NĐ-CP</t>
  </si>
  <si>
    <t>720/QĐ-UBND ngày 26/9/2023</t>
  </si>
  <si>
    <t>Chi công tác mở đợt cao điểm tấn công, trấn áp tội phạm và bảo đảm an ninh trật tự kỷ niệm 78 năm Cách mạng tháng 8 và Quốc khánh 02/9 năm 2023</t>
  </si>
  <si>
    <t>747/QĐ-UBND ngày 04/10/2023</t>
  </si>
  <si>
    <t>Hỗ trợ chi phí nhân công cho nhân viên Bưu điện tham gia bộ phận một cửa thực hiện đề án thí điểm chuyển giao các nhiệm vụ, dịch vụ hành chính công- giai đoạn 3</t>
  </si>
  <si>
    <t>779/QĐ-UBND ngày 18/10/2023</t>
  </si>
  <si>
    <t>Chi thanh toán tiền BHXH, BHYT, BHTNLĐ-BNN do đơn vị sử dụng lao động đóng từ tháng 1/2002 – 09/2023 cho ông Trần Thanh Bình</t>
  </si>
  <si>
    <t>812/QĐ-UBND ngày 02/11/2023</t>
  </si>
  <si>
    <t>Tuyên truyền pháp luật bằng hình thức sân khấu hóa tại BCH Quân sự và tuyên truyền Đề án 1371 tại 04 xã trên địa bàn huyện</t>
  </si>
  <si>
    <t>811/QĐ-UBND ngày 02/11/2023</t>
  </si>
  <si>
    <t>Thuê phát cỏ, đo đạc và cắm mốc ranh bổ sung diện tích đất đã chi bồi thường công trình Đường Nguyễn Huệ (nối dài), đoạn 1</t>
  </si>
  <si>
    <t>790/UBND-KT ngày 23/10/2023</t>
  </si>
  <si>
    <t>1=2+…+5</t>
  </si>
  <si>
    <t>Phụ lục 01</t>
  </si>
  <si>
    <t>Phụ lục 02</t>
  </si>
  <si>
    <t>Chi Quản lý hành chính</t>
  </si>
  <si>
    <t>Quản lý hành chính</t>
  </si>
  <si>
    <t xml:space="preserve">  ỦY BAN NHÂN DÂN</t>
  </si>
  <si>
    <t>HUYỆN CHÂU THÀNH</t>
  </si>
  <si>
    <t>TÌNH HÌNH SỬ DỤNG DỰ PHÒNG NGÂN SÁCH CẤP HUYỆN NĂM 2023</t>
  </si>
  <si>
    <t>(Kèm theo Báo cáo số          /BC-UBND ngày      tháng 11 năm 2023 của Ủy ban nhân dân huyện Châu Thành)</t>
  </si>
  <si>
    <t>Đơn vị tính: triệu đồng</t>
  </si>
  <si>
    <t>Đơn vị quyết toán</t>
  </si>
  <si>
    <t>Dự toán</t>
  </si>
  <si>
    <t>Đã quyết toán</t>
  </si>
  <si>
    <t>Tồn</t>
  </si>
  <si>
    <t>Chi phòng, chống dịch bệnh trên động vật, gia súc, gia cầm và thủy sản</t>
  </si>
  <si>
    <t>Thực hiện Kế hoạch phòng, chống dịch bệnh trên động vật, gia súc, gia cầm và thuỷ sản năm 2023</t>
  </si>
  <si>
    <t>TT.DVNN Huyện</t>
  </si>
  <si>
    <t>120/QĐ-UBND ngày 08/3/2023</t>
  </si>
  <si>
    <t>Chi phòng, chống dịch Covid-19 và hỗ trợ người dân gặp khó khăn do đại dịch</t>
  </si>
  <si>
    <t>Hỗ trợ tiền ăn đối với người điều trị (F0), cách ly y tế (F1) tại các khu cách ly y tế tập trung năm 2021</t>
  </si>
  <si>
    <t>UBND xã APT, AN, TNĐ</t>
  </si>
  <si>
    <t>581/QĐ-UBND ngày 27/7/2023</t>
  </si>
  <si>
    <t>Diễn tập khu vực phòng thủ</t>
  </si>
  <si>
    <t>BCH. Quân sự; các xã</t>
  </si>
  <si>
    <t>608/QĐ-UBND ngày 01/8/2023</t>
  </si>
  <si>
    <t>Khắc phục, gia cố sạt lở</t>
  </si>
  <si>
    <t>Khắc phục sạt lở 04 đoạn trên địa bàn xã An Khánh</t>
  </si>
  <si>
    <t>UBND xã AK</t>
  </si>
  <si>
    <t>633/QĐ-UBND ngày 09/8/2023</t>
  </si>
  <si>
    <t>Khắc phục sạt lở 02 đoạn trên địa bàn xã Phú Hựu</t>
  </si>
  <si>
    <t>UBND xã PH</t>
  </si>
  <si>
    <t>632/QĐ-UBND ngày 09/8/2023</t>
  </si>
  <si>
    <t>Gia cố 03 đoạn sạt lở tuyến đường Rau Cần tuyến phụ thuộc ấp Phú Bình, xã Phú Long</t>
  </si>
  <si>
    <t>UBND xã PL</t>
  </si>
  <si>
    <t>653/QĐ-UBND ngày 17/8/2023</t>
  </si>
  <si>
    <t>TỔNG HỢP TÌNH HÌNH SỬ DỤNG KINH PHÍ GIAO KHÔNG TỰ CHỦ NĂM 2024</t>
  </si>
  <si>
    <r>
      <t xml:space="preserve">Năm 2023 chuyển sang </t>
    </r>
    <r>
      <rPr>
        <sz val="12"/>
        <rFont val="Times New Roman"/>
        <family val="1"/>
      </rPr>
      <t>(MN15)</t>
    </r>
  </si>
  <si>
    <t>Thực hiện đến 31/8/2024</t>
  </si>
  <si>
    <t>- Lắp đặt hệ thống âm thanh, tivi hội nghị trực tuyến, khăn trải bàn, bao ghế tại Hội trường của Huyện</t>
  </si>
  <si>
    <t>- Kinh phí đối ngoại và tiếp khách</t>
  </si>
  <si>
    <t>- Kinh phí điện, nước phục vụ dùng chung tại hội trường, nhà ăn của Ủy ban nhân dân huyện và Huyện ủy</t>
  </si>
  <si>
    <t>- Phí duy trì phần mềm thủ tục hành chính ở 12 xã, thị trấn và Bộ phận một cửa Huyện</t>
  </si>
  <si>
    <t>-  Thuê dịch vụ trọn gói sử dụng phần mềm phòng họp không giấy VNPT e-Cabinet</t>
  </si>
  <si>
    <t>- Chi cung cấp thông tin cho đại biểu (truy cập internet, mua sách, báo)</t>
  </si>
  <si>
    <t>- Mua 02 máy vi tính (laptop)</t>
  </si>
  <si>
    <t>- Máy chiếu và màn chiếu</t>
  </si>
  <si>
    <t>- Kinh phí hoạt động sự nghiệp Nông nghiệp- Thủy lợi</t>
  </si>
  <si>
    <t>- Báo cáo theo dõi tình hình thi hành pháp luật do UBND cấp huyện gửi UBND cấp Tỉnh theo văn bản….</t>
  </si>
  <si>
    <t>- Tập huấn chuẩn tiếp cận pháp luật</t>
  </si>
  <si>
    <t>- Rà soát và hệ thống hóa văn bản quy phạm pháp luật giai đoạn 2014-2023 theo văn bản….</t>
  </si>
  <si>
    <t>- Kệ sắt để hồ sơ bảo quản hộ tịch</t>
  </si>
  <si>
    <t>- Chi phục vụ công tác hộ tịch và lưu trữ hồ sơ hộ tịch năm 2024</t>
  </si>
  <si>
    <t>- Lập Quy hoạch chi tiết dự án nông nghiệp ứng dụng công
nghệ cao tại Trại giống tổng hợp, xã Phú Long</t>
  </si>
  <si>
    <t>- Kinh phí an toàn giao thông</t>
  </si>
  <si>
    <t>- Chi công tác lập hồ sơ công việc lưu trữ của huyện</t>
  </si>
  <si>
    <t xml:space="preserve">- Nâng cấp sân dal giáp ranh Kho bạc Nhà nước và sau lưng sân cầu lông Ủy ban nhân dân Huyện </t>
  </si>
  <si>
    <t>- Chi mua 03 bộ máy vi tính bàn</t>
  </si>
  <si>
    <t>- Mua 01 máy laptop chuyên dùng phục vụ ký số hóa dịch vụ công, thủ tục hành chính)</t>
  </si>
  <si>
    <t>- Nâng cấp sân cơ quan Phòng Giáo dục và Đào tạo Huyện</t>
  </si>
  <si>
    <t>- Kệ sắt có lỗ, sắt V5 để lưu trữ hồ sơ xây dựng cơ bản (4 cái)</t>
  </si>
  <si>
    <t>- Máy tính xách tay phục vụ công tác kiểm tra phổ cập giáo dục (1 cái)</t>
  </si>
  <si>
    <t xml:space="preserve">- Chi phí khám sức khỏe chuẩn bị chọn dân quân nhập ngũ (khám sơ tuyển và chính thức; test HIV, Ma túy) </t>
  </si>
  <si>
    <t>- Mua 02 máy vi tính: 01 laptop và 01 máy bàn</t>
  </si>
  <si>
    <t>- 01 Máy scan</t>
  </si>
  <si>
    <t>- 15 Kệ lưu hồ sơ</t>
  </si>
  <si>
    <t>- Kinh phí hoạt động Ban vì sự tiến bộ phụ nữ</t>
  </si>
  <si>
    <t>- Kinh phí Trang thông tin điện tử, Feabook Huyện và đất nhãn Châu Thành</t>
  </si>
  <si>
    <r>
      <t xml:space="preserve">- Kinh phí công nghệ thông tin và chuyển đổi số </t>
    </r>
    <r>
      <rPr>
        <i/>
        <sz val="12"/>
        <rFont val="Times New Roman"/>
        <family val="1"/>
      </rPr>
      <t>(mở 06 lớp tập huấn và dự tập huấn cấp Tỉnh về công nghệ thông tin; tập huấn chuyển đổi số và hoạt động Ban chỉ đạo chuyển đổi số</t>
    </r>
    <r>
      <rPr>
        <sz val="12"/>
        <rFont val="Times New Roman"/>
        <family val="1"/>
      </rPr>
      <t>)</t>
    </r>
  </si>
  <si>
    <t>- Hoạt động Đội kiểm tra liên ngành Văn hóa xã hội</t>
  </si>
  <si>
    <t>- Đặt mua báo, tạp chí Đồng Tháp và tuyên truyền trên báo Đồng Tháp; tạp chí văn nghệ</t>
  </si>
  <si>
    <t>- 03 máy vi tính chuyên dùng phục vụ trang thông tin điện tử, chuyển đổi số và cài đặt phần mềm giải quyết Thủ tịch hành chính công</t>
  </si>
  <si>
    <t>- 01 máy scan phục vụ công tác chuyển đổi số và thủ tục hành chính</t>
  </si>
  <si>
    <t>- 02 máy điều hòa nhiệt độ cho Lãnh đạo và 02 hội trường</t>
  </si>
  <si>
    <t>- Cải tạo sửa chữa trụ sở làm việc Phòng Văn hóa và Thông tin</t>
  </si>
  <si>
    <t>- Thăm, chúc mừng các cơ sở tín ngưỡng truyền thống dân gian nhân dịp tổ chức lễ hội định kỳ 2 lần/năm và Tết âm lịch</t>
  </si>
  <si>
    <t>- Thuê đơn vị tư vấn thực hiện thống kê đất đai năm 2024</t>
  </si>
  <si>
    <t>- Kinh phí thực hiện quỹ thi đua khen thưởng</t>
  </si>
  <si>
    <t>- Chi công tác tôn giáo theo Phụ lục 01 QĐ số 10/2016/QĐ-UBND ngày 17/10/2016 của UBND tỉnh Đồng Tháp</t>
  </si>
  <si>
    <r>
      <t>- Chi công tác chuyên môn cho các đoàn thanh tra (</t>
    </r>
    <r>
      <rPr>
        <i/>
        <sz val="12"/>
        <rFont val="Times New Roman"/>
        <family val="1"/>
      </rPr>
      <t>08 đoàn hành chính và 01 đoàn trách nhiệm</t>
    </r>
    <r>
      <rPr>
        <sz val="12"/>
        <rFont val="Times New Roman"/>
        <family val="1"/>
      </rPr>
      <t>)</t>
    </r>
  </si>
  <si>
    <t>- Mua tủ đựng hồ sơ</t>
  </si>
  <si>
    <t>- Chi Phụ cấp UV MTTQ theo Quyết định 33/2014/QĐ-TTg</t>
  </si>
  <si>
    <r>
      <t>- Chi đón tiếp, thăm hỏi, chúc mừng đối với một số đối tượng do UBMTTQ cấp Huyện thực hiện (</t>
    </r>
    <r>
      <rPr>
        <i/>
        <sz val="12"/>
        <rFont val="Times New Roman"/>
        <family val="1"/>
      </rPr>
      <t>theo Nghị quyết 28/2022/NQ-HDND ngày 09/12/2022 của HDND Tỉnh</t>
    </r>
    <r>
      <rPr>
        <sz val="12"/>
        <rFont val="Times New Roman"/>
        <family val="1"/>
      </rPr>
      <t>)</t>
    </r>
  </si>
  <si>
    <r>
      <t>- Chi hoạt động và khen thưởng BCĐ “Người Việt dùng hàng Việt” (</t>
    </r>
    <r>
      <rPr>
        <i/>
        <sz val="12"/>
        <rFont val="Times New Roman"/>
        <family val="1"/>
      </rPr>
      <t>Theo Quyết định 93-QĐ/HU ngày 25/3/2011 của BTV. Huyện ủy</t>
    </r>
    <r>
      <rPr>
        <sz val="12"/>
        <rFont val="Times New Roman"/>
        <family val="1"/>
      </rPr>
      <t>)</t>
    </r>
  </si>
  <si>
    <t>- Chi hoạt động và họp mặt biểu dương "mô hình Tổ nhân dân tự quản cộng đồng"</t>
  </si>
  <si>
    <t>- Chi hoạt động giám sát phản biện theo Quyết định 217-218-QĐ/TW ngày 12/12/2013 của Bộ Chính trị</t>
  </si>
  <si>
    <r>
      <t>- Chi phụ cấp hỗ trợ cho 02 Ban tư vấn (</t>
    </r>
    <r>
      <rPr>
        <i/>
        <sz val="12"/>
        <rFont val="Times New Roman"/>
        <family val="1"/>
      </rPr>
      <t>Theo Thông từ 35/2018/TT-BTC ngày 30/3/2018</t>
    </r>
    <r>
      <rPr>
        <sz val="12"/>
        <rFont val="Times New Roman"/>
        <family val="1"/>
      </rPr>
      <t>)</t>
    </r>
  </si>
  <si>
    <t>- Hội nghị chuyên đề nâng cao chất lượng hoạt động của Công tác mặt trận năm 2024</t>
  </si>
  <si>
    <t>- Chi Đại hội Ủy ban Mặt trận Tổ quốc Việt Nam Huyện nhiệm kỳ XII (2024-2029)</t>
  </si>
  <si>
    <t>- 01 máy scan</t>
  </si>
  <si>
    <r>
      <t>- Chi hoạt động Đoàn TNCS Hồ Chí Minh (</t>
    </r>
    <r>
      <rPr>
        <i/>
        <sz val="12"/>
        <rFont val="Times New Roman"/>
        <family val="1"/>
      </rPr>
      <t>Bao gồm: Tổ chức chương trình gặp gỡ, đối thoại giữa lãnh đạo Huyện với thanh niên và chương trình biểu dương thanh niên “Tỏa sáng nghị lực Việt”; tổ chức hội nghị tập huấn nghiệp vụ công tác Đoàn; Tổ chức cuộc thi dự án, ý tưởng khởi nghiệp huyện Châu Thành</t>
    </r>
    <r>
      <rPr>
        <sz val="12"/>
        <rFont val="Times New Roman"/>
        <family val="1"/>
      </rPr>
      <t>)</t>
    </r>
  </si>
  <si>
    <t>- Chi hoạt động Hội LHTN Việt Nam và 02 công trình chào mừng đại hội</t>
  </si>
  <si>
    <t xml:space="preserve">- Chi tổ chức các hoạt động Đội TN TP.Hồ Chí Minh </t>
  </si>
  <si>
    <t>- Hoạt động kỷ niệm 93 năm Ngày thành lập Đoàn TNCS Hồ Chí Minh (26/03/1931-26/03/2024)</t>
  </si>
  <si>
    <t>- Chuyên mục thanh niên (mỗi tuần phát 1 lần trên Đài truyền thanh)</t>
  </si>
  <si>
    <t>- Đại hội Hội Liên hiệp Thanh niên Việt Nam</t>
  </si>
  <si>
    <r>
      <t>- Tập huấn nghiệp vụ công tác Hội cho chi, tổ, hội "</t>
    </r>
    <r>
      <rPr>
        <i/>
        <sz val="12"/>
        <rFont val="Times New Roman"/>
        <family val="1"/>
      </rPr>
      <t>Tập trung xây dựng đội ngũ cán bộ Hội các cấp đáp ứng yêu cầu, nhiệm vụ trong tình hình mới</t>
    </r>
    <r>
      <rPr>
        <sz val="12"/>
        <rFont val="Times New Roman"/>
        <family val="1"/>
      </rPr>
      <t>" giai đoạn 2022- 2026</t>
    </r>
  </si>
  <si>
    <t>- Chi tổ chức các hoạt động ngày Quốc tế phụ nữ 8/3 và Ngày 20/10</t>
  </si>
  <si>
    <t>- Tổ chức Hội nghị tuyên truyền quản lý giáo dục trẻ thành niên vi phạm pháp luật</t>
  </si>
  <si>
    <r>
      <t>- Tổ chức sơ kết và thăm phụ nữ khuyết tật (</t>
    </r>
    <r>
      <rPr>
        <i/>
        <sz val="12"/>
        <rFont val="Times New Roman"/>
        <family val="1"/>
      </rPr>
      <t>giai đoạn 2021-2030</t>
    </r>
    <r>
      <rPr>
        <sz val="12"/>
        <rFont val="Times New Roman"/>
        <family val="1"/>
      </rPr>
      <t>)</t>
    </r>
  </si>
  <si>
    <t>- Hỗ trợ xe, tiền ăn và trưng bày sản phẩm tham gia các hoạt động phụ nữ khởi nghiệp do tỉnh tổ chức</t>
  </si>
  <si>
    <r>
      <t>- Tổ chức tập huấn "</t>
    </r>
    <r>
      <rPr>
        <i/>
        <sz val="12"/>
        <rFont val="Times New Roman"/>
        <family val="1"/>
      </rPr>
      <t>Ứng dụng công nghệ thông tin trong hoạt động Hội</t>
    </r>
    <r>
      <rPr>
        <sz val="12"/>
        <rFont val="Times New Roman"/>
        <family val="1"/>
      </rPr>
      <t>" giai đoạn 2021- 2026</t>
    </r>
  </si>
  <si>
    <t>- Thuê xe tham dự 05 hội thi do Tỉnh tổ chức</t>
  </si>
  <si>
    <t>- Tham dự hội dân vũ cấp tỉnh (02 đội)</t>
  </si>
  <si>
    <t>- Kinh phí tuyển quân năm 2024</t>
  </si>
  <si>
    <t>- Thực hiện Chương trình đồng hành cùng phụ nữ biên cương tại xã Bình Thạnh và Tân Hội, TP. Hồng Ngự</t>
  </si>
  <si>
    <r>
      <t>- Hoạt động của Ban chỉ đạo thực hiện Kết luận 61-KL/TW ngày 03/12/2009 của Ban bí thư và Quyết định 673/QĐ-TTg ngày 10/5/2011 của Thủ tướng Chính phủ (</t>
    </r>
    <r>
      <rPr>
        <i/>
        <sz val="12"/>
        <rFont val="Times New Roman"/>
        <family val="1"/>
      </rPr>
      <t>kéo dài giai đoạn 2011-2020 theo Công văn số 1228-CV/HNDT của BCH Hội Nông dân Tỉnh; Công văn số 1577-CV/VPCP của Văn phòng BCH.TW</t>
    </r>
    <r>
      <rPr>
        <sz val="12"/>
        <rFont val="Times New Roman"/>
        <family val="1"/>
      </rPr>
      <t>)</t>
    </r>
  </si>
  <si>
    <t>- Tổ chức hội nghị cập nhật kiến thức cho cán bộ Hội cơ sở năm 2024</t>
  </si>
  <si>
    <t>- Tổ chức tuyên truyền, phổ biến, quán triệt gắn với triển khai Chương trình hành động thực hiện Nghị quyết Đại hội đại biểu toàn quốc Hội nông dân Việt Nam lần thức VIII, nhiệm kỳ 2023-2028</t>
  </si>
  <si>
    <t>- Hội nghị đánh giá kết quả 05 năm Chương trình hành động số 07-CT/HNDT ngày 17/12/2019 của Ban Chấp hành Hội Nông dân Tỉnh thực hiện 03 Nghị quyết của Ban Chấp hành Trung ương Hội Nông dân Việt Nam khóa VII về xây dựng tổ chức Hội Nông dân Việt Nam trong sạch, vững mạnh.</t>
  </si>
  <si>
    <t xml:space="preserve">- Tổng kết 10 năm Chương trình hành động số 08-CTr/HNDT ngày 20/01/2014 của Ban Chấp hành Hội Nông dân Tỉnh thực hiện Nghị quyết số 19-NQ/HNDTW, ngày 20/7/2014 của Ban Chấp hành Trung ương Hội Nông dân Việt Nam (khóa VI) về tăng cường và đổi mới công tác tuyên truyền, vận động nông dân trong tình hình mới. </t>
  </si>
  <si>
    <t>- Cử đội tuyển tham dự Hội thi tuyên truyền viên giỏi cấp Tỉnh năm 2024</t>
  </si>
  <si>
    <t>- Tổ chức tổng kết 10 năm thực hiện Quyết định số 81/2014/QĐ-TTg của Thủ tướng Chính phủ về việc phối hợp giữa các bộ, ngành, UBND các cấp với các cấp Hội Nông dân trong việc tiếp công dân, tham gia giải quyết khiếu nại, tố cáo của nông dân.</t>
  </si>
  <si>
    <t>- Cử cán bộ Hội viên nông dân giỏi dự Hội nghị Chủ tịch Uỷ ban nhân dân Tỉnh đối thoại với nông dân tỉnh Đồng Tháp năm 2024. Tham gia Hội nghị Thủ tướng Chính phủ đối thoại với nông dân Việt Nam năm 2024 (điểm cầu tại Tỉnh).</t>
  </si>
  <si>
    <t>- Tổ chức hội nghị triển khai Kế hoạch vận động hội viên nông dân thực hiện cuộc vận động trở thành "Người nông dân chuyên nghiệp"</t>
  </si>
  <si>
    <t>- Tổ chức triển khai các Quy định về công tác kiểm tra, giám sát của Hội Nông dân Việt Nam nhiệm kỳ 2023 - 2028; Quy định về công tác kỷ luật của Hội Nông dân Việt Nam nhiệm kỳ 2023 - 2028.</t>
  </si>
  <si>
    <t>- Tham dự Hội nghị nhân rộng mô hình "Cựu chiến binh xây dựng cuộc sống ấm no bền vững" ở huyện Cao Lãnh</t>
  </si>
  <si>
    <t>- Tổ chức cho hội viên thời chống Mỹ tham quan nghĩ dưỡng Côn Đảo (thuê xe đưa cán bộ hội viên đi lên Cao Lãnh)</t>
  </si>
  <si>
    <t>- Tham dự sơ kết mô hình Câu lạc bộ Cựu quân nhân cơ sở ở Tỉnh (Thuê xe cho các xã, thị trấn dự)</t>
  </si>
  <si>
    <t>- Tham dự hội nghị nhân rộng mô hình "Cựu chiến binh tham gia bảo vệ môi trường" (thuê xe đưa cán bộ hội viên đi lên Tháp Mười)</t>
  </si>
  <si>
    <t>- Tham dự Đại hội điểm Câu lạc bộ Cựu quân nhân nhiệm kỳ 2024- 2029</t>
  </si>
  <si>
    <t>- Tham dự Đại hội Doanh nhân Cựu chiến binh Tỉnh (Thuê xe đi Cao Lãnh)</t>
  </si>
  <si>
    <t>- Tham dự hội nghị nhân rộng mô hình xây dựng cuộc sống ấm no bền vững ở huyện Lai Vung (Thuê xe cho các xã, thị trấn tham dự)</t>
  </si>
  <si>
    <t>- Tham dự hội nghị Tổng kết 35 năm ngày thành lập Hội và Đại hội thi đua yêu nước lần thứ VII, Tổng kết phong trào Cựu chiến binh ở Tỉnh (Thuê xe cho các xã, thị trấn tham dự)</t>
  </si>
  <si>
    <t>- Tham dự tập huấn quy tình công tác quy hoạch cán bộ nhiệm kỳ VII - VIII (Thuê xe cho các xã, thị trấn tham dự)</t>
  </si>
  <si>
    <t>- Hội nghị ký kết thi đua năm 2024 cụm III 4 huyện, thành phố phía nam ở huyện Châu Thành tổ chức</t>
  </si>
  <si>
    <t>- Đại hội Câu lạc bộ "Cựu quân nhân nhiệm kỳ 2024-2029"</t>
  </si>
  <si>
    <t>- Đại hội thi đua yêu nước lần thứ VII và Hội nghị tổng kết 35 năm ngày thành lập hội, tổng kết phong trào Cựu chiến binh gương mẫu</t>
  </si>
  <si>
    <t>- Kinh phí hoạt động Đảng ủy Khối Văn hóa - Xã hội</t>
  </si>
  <si>
    <t>- Chi các hoạt động lĩnh vực Văn hóa- Văn nghệ, Mừng Đảng- Mừng Xuân và mừng các ngày Lễ lớn, các hội thi- hội diễn</t>
  </si>
  <si>
    <t>- Sửa chữa sân quần vợt tại Trung tâm Văn hóa- TT Huyện</t>
  </si>
  <si>
    <t>- Mua xe ô tô chuyên dùng</t>
  </si>
  <si>
    <t>- Mua sắm sân khấu lưu động</t>
  </si>
  <si>
    <t>- Nhận sang nhượng sân bóng đá cỏ nhân tạo</t>
  </si>
  <si>
    <t>- Sửa chữa hệ thống điện, đèn chiếu sáng tại Trung tâm Văn hóa- Thể thao và Truyền thanh Huyện</t>
  </si>
  <si>
    <t>- Mua 500 quyển sách thể loại truyện tranh thiếu nhi</t>
  </si>
  <si>
    <t>- Mua Smarr Tivi 55 inch</t>
  </si>
  <si>
    <t>- Cải tạo, nâng cấp hàng rào và san lấp mặt bằng khu đất công do Trung tâm Dịch vụ nông nghiệp quản lý</t>
  </si>
  <si>
    <t xml:space="preserve">- Mua 01 máy chiếu </t>
  </si>
  <si>
    <t>- Tổ chức lễ phát động phong trào " Tết nhân ái " năm 2024</t>
  </si>
  <si>
    <t>- Tổ chức lễ phát động phong trào "Người tốt, viêc thiện - Chung sức xây dựng cộng đồng nhân ái" giai đoạn 2022-2027 và " Tháng nhân đạo" tháng 5/2024</t>
  </si>
  <si>
    <t>- Chi phí nhân xe lăn, xe lắc</t>
  </si>
  <si>
    <t>- 07 Bàn làm việc</t>
  </si>
  <si>
    <t>- 01 bộ bàn tiếp khách</t>
  </si>
  <si>
    <t>- 03 bộ máy vi tính (laptop)</t>
  </si>
  <si>
    <t>- Khoán kinh phí thù lao và hoạt động theo NQ HĐND</t>
  </si>
  <si>
    <t>- Mua sắm quân trang cho lực lượng dự bị động viên thuộc đại đội khẩn cấp dBB huyện</t>
  </si>
  <si>
    <t>- Lắp đặt màn hình led phục vụ công tác quốc phòng, quân sự địa phương</t>
  </si>
  <si>
    <t>- Kinh phí hoạt động đề án quân báo giai đoạn 2023-2027</t>
  </si>
  <si>
    <t>- Bổ sung kinh phí diễn tập phòng thủ cấp huyện năm 2024</t>
  </si>
  <si>
    <r>
      <t>- Chi mua máy ví tính Laptop  (</t>
    </r>
    <r>
      <rPr>
        <i/>
        <sz val="12"/>
        <rFont val="Times New Roman"/>
        <family val="1"/>
      </rPr>
      <t>phục vụ đăng tải các thủ tục đấu thầu, kê khai phí, lệ phí trực tuyến và phục vụ công tác chung của Đội tổng hợp</t>
    </r>
    <r>
      <rPr>
        <sz val="12"/>
        <rFont val="Times New Roman"/>
        <family val="1"/>
      </rPr>
      <t>)</t>
    </r>
  </si>
  <si>
    <r>
      <t xml:space="preserve">- Chi mua 3 máy in </t>
    </r>
    <r>
      <rPr>
        <i/>
        <sz val="12"/>
        <rFont val="Times New Roman"/>
        <family val="1"/>
      </rPr>
      <t>(thay thế máy in đã thanh lý tại các đội KTHS, An ninh và CSGT)</t>
    </r>
  </si>
  <si>
    <t>- Lắp đặt camera giám sát giao thông nội ô Thị trấn Cái Tàu Hạ</t>
  </si>
  <si>
    <t>- Đường truyền, phí bảo trì camera giám sát giao thông tại xã Tân Phú Trung (của UBND Huyện đầu tư phục vụ chuyển đổi số quốc gia)</t>
  </si>
  <si>
    <t>Tòa án nhân dân Huyện</t>
  </si>
  <si>
    <t>Hỗ trợ thêm kinh phí xét xử lưu động, tập huấn hội thẩm nhân dân và kinh phí hoạt động của Đoàn hội thẩm</t>
  </si>
  <si>
    <t>Hỗ trợ kinh phí xét xử hình sự, dân sự lưu động tại các xã, thị trấn, kiểm sát điều tra, kiểm sát nhà tạm giữ, khám nghiệm</t>
  </si>
  <si>
    <t xml:space="preserve">Hỗ trợ kinh phí chi thêm giờ và trang phục cho giáo viên thể dục </t>
  </si>
  <si>
    <t>TH &amp;THCS Tân Phú</t>
  </si>
  <si>
    <t>-  Mua sắm thiết bị phòng học</t>
  </si>
  <si>
    <t>- Chi sửa chữa cơ sở vật chất trường lớp</t>
  </si>
  <si>
    <t>Tinh giản biên chế đợt 1 năm 2024 (Châu Mạnh Thi)</t>
  </si>
  <si>
    <t>- Tinh giản biên chế đợt 1 năm 2024 (Lê Kim Thành)</t>
  </si>
  <si>
    <t>- Tinh giản biên chế đợt 1 năm 2024 (Lê Tấn Phước)</t>
  </si>
  <si>
    <t>- Tinh giản biên chế đợt 2 năm 2024 (Lê Văn Đầy)</t>
  </si>
  <si>
    <t>- Tinh giản biên chế đợt 2 năm 2024 (Nguyễn Văn Hùng)</t>
  </si>
  <si>
    <t>- KP hoạt động Chi bộ Khối Dân vận</t>
  </si>
  <si>
    <t>- KP hoạt động Chi bộ Văn phòng HĐND&amp;UBND Huyện</t>
  </si>
  <si>
    <t>- KP hoạt động Chi bộ PTCKH</t>
  </si>
  <si>
    <t>- KP hoạt động Chi bộ Tài nguyên MT - KT&amp;HT</t>
  </si>
  <si>
    <t>- KP hoạt động Chi bộ phòng NN-PTNT</t>
  </si>
  <si>
    <t>- KP hoạt động Chi bộ Lao động- GD- Nghề nghiệp</t>
  </si>
  <si>
    <t>- KP hoạt động Chi bộ Nội vụ- Thanh tra- Tư pháp</t>
  </si>
  <si>
    <t>- KP hoạt động Chi bộ Văn hóa và Thông tin</t>
  </si>
  <si>
    <t>-  Kinh phí tổ chức Hội thi, kỳ thi ngành giáo dục; Hội khỏe phú đổng</t>
  </si>
  <si>
    <t>- KP tổ chức Hội khỏe phù đổng</t>
  </si>
  <si>
    <t>085</t>
  </si>
  <si>
    <t>BCH Quân sự Huyện</t>
  </si>
  <si>
    <t>- Huấn luận dân quân tự vệ</t>
  </si>
  <si>
    <t>- Hỗ trợ kinh phí đào tạo, bồi dưỡng cán bộ, công chức, viên chức</t>
  </si>
  <si>
    <t>- Dự phòng (các nhiệm vụ phát sinh như: tăng lương thường xuyên, trước hạn, sửa chữa thường xuyên trường lớp, nâng cao trình độ chuẩn được đào tạo của GV theo Nghị định 71/2020/NĐ-CP... )</t>
  </si>
  <si>
    <t>- Hỗ trợ kinh phí đào tạo đợt 2 năm 2023</t>
  </si>
  <si>
    <t>- Hỗ trợ kinh phí đào tạo đợt 1 năm 2024</t>
  </si>
  <si>
    <t>Hỗ trợ kinh phí đào tạo đợt 1 năm 2024</t>
  </si>
  <si>
    <t>- Hỗ trợ chi phí học tập cho học sinh đợt 2 năm 2023 (từ tháng 09 đến tháng 12 năm 2023)</t>
  </si>
  <si>
    <t>Hỗ trợ học bổng, chi phí mua phương tiện, đồ dùng học tập cho học sinh khuyết tật theo Thông tư số 42/2013/TTLT-BGDĐT-TLĐTBXH-BTC</t>
  </si>
  <si>
    <t>- Miễn giảm học phí cho sinh viên của các trường giáo dục đại học ngoài công lập năm 2024 (SNGD)</t>
  </si>
  <si>
    <t>Di dời trụ điện trước cổng Trường mẫu giáo Hoà Tân</t>
  </si>
  <si>
    <t>tổ chức Lễ đón nhận bằng công nhận trường đạt chuẩn quốc gia mức độ 2 (SNGD)</t>
  </si>
  <si>
    <t>Chi phí thẩm tra quyết toán hoàn thành công trình cải tạo, nâng cấp cơ sở vật chất Trường tiểu học An Nhơn</t>
  </si>
  <si>
    <t>Chi mua sắm thiết bị và sửa chữa cơ sở vật chất phục vụ đạt chuẩn CSVC mức độ 2</t>
  </si>
  <si>
    <t>- Hỗ trợ chi phí học tập cho học sinh đợt 1 năm 2024 (từ tháng 01 đến tháng 5 năm 2024)</t>
  </si>
  <si>
    <t xml:space="preserve">- Chi miễn giảm học phí cho sinh viên của các trường giáo dục đại học ngoài công lập đợt 1 năm 2024 </t>
  </si>
  <si>
    <t>TH &amp; THCS Phú Hựu</t>
  </si>
  <si>
    <t>- Thực hiện Cuộc vận động "Toàn dân đoàn kết xây dựng nông thôn mới, đô thị văn minh" năm 2024</t>
  </si>
  <si>
    <t>- Giám sát theo QĐ số 217-QĐ/TW của Bộ chính trị (khóa XI) về giám sát và phản biện xã hội của Mặt trật TQ và các đoàn thể chính trị xã hội + Hội nghị tổng kết phong trào NDSXKDG năm 2024</t>
  </si>
  <si>
    <t>- Thực hiện mô hình "Vườn ươm cây xanh" trong xây dựng nông thôn mới năm 2023 và tổ chức học tập kinh nghiệm mô hình trong xây dựng nông thôn mới</t>
  </si>
  <si>
    <t>- Phòng ngừa, đấu tranh, xử lý các hành vi vi phạm pháp luật trong khai thác thủy sản năm 2024</t>
  </si>
  <si>
    <t>- Ký cam kết an toàn vệ sinh an toàn thực phẩm đối với cơ sở sản xuất kinh doanh nông lâm thủy sản theo Thông tư 17 của Bộ Nông nghiệp.</t>
  </si>
  <si>
    <t>- Chi tiếp đoàn Hội Nông dân huyện Thanh Bình đến học tập kinh nghiệm mô hình IMO</t>
  </si>
  <si>
    <t>- Tổ chức đi Học tập kinh nghiệm các mô hình sản xuất, kinh doanh hiệu quả cho các Hợp tác xã, hội quán chuyên về cây Nhãn và nghệ nhân cây cảnh tại tỉnh Bắc Giang</t>
  </si>
  <si>
    <t>- SN. Kiến thiết thị chính</t>
  </si>
  <si>
    <t>- Chỉnh trang công viên, đô thị và công chăm sóc, bảo dưỡng cây xanh định kỳ khu hành chính UBND Huyện</t>
  </si>
  <si>
    <t>Dự phòng SN. Giao thông</t>
  </si>
  <si>
    <t>- SN. Giao thông</t>
  </si>
  <si>
    <t>- Đối ứng thực hiện công trình Khán đài sân vận động xã APT</t>
  </si>
  <si>
    <t>- Đối ứng xây dựng Hồ bơi tại Trường tiểu học Tân Xuân (điểm Vàm Trại Quán)</t>
  </si>
  <si>
    <t>- Nạo vét, hoàn trả mặt nước rạch Bà Thiên cho các hộ dân bị ảnh hưởng thuộc công trình cụm công nghiệp Tân Lập</t>
  </si>
  <si>
    <t>- KP thuê phát cỏ phục vụ việc cắm mốc, giao nền tái định cư Khu tái định cư Cụm công nghiệp Tân Lập</t>
  </si>
  <si>
    <t>- Thanh toán chi phí thẩm tra phê duyệt quyết toán vốn đầu tư hoàn thành công trình  Hồ bơi tại Trung tâm văn hóa học tập cộng đồng xã Tân Nhuận Đông</t>
  </si>
  <si>
    <t>- Học tập kinh nghiệm trong việc phát động phong trào xây dựng cầu, đường nông thôn, tuyến đường kiểu mẫu sáng- xanh- sạch- đẹp huyện Tháp Mười, tỉnh Đồng Tháp và Thị xã Bình Minh, tỉnh Vĩnh Long</t>
  </si>
  <si>
    <t xml:space="preserve">- Thanh toán chi phí thẩm tra phê duyệt quyết toán vốn đầu tư hoàn thành công trình: Cải tạo, sửa chữa nhà ăn Ủy ban nhân dân huyện; Nhà xe khu hành chính Huyện; Sửa chữa các cơ quan trong khu hành chính Huyện, </t>
  </si>
  <si>
    <t>- Chi phí thẩm tra phê duyệt quyết toán vốn đầu tư hoàn thành công trình Cải tạo, sửa chữa Nhà thi đấu đa năng + phát sinh</t>
  </si>
  <si>
    <t>- Thanh toán chi phí mở lớp tập huấn về kinh tế hợp tác, kinh tế tập thể cho các hợp tác xã, tổ hợp tác, hội quán, các tổ chức, cá nhân có nhu cầu thành lập hợp tác xã trên địa bàn huyện Châu Thành năm 2024</t>
  </si>
  <si>
    <t>- Thanh toán dịch vụ đấu giá tài sản Hãng nước đá Thanh Bình (cũ), xã Tân Nhuận Đông</t>
  </si>
  <si>
    <t>- Hỗ trợ kinh phí điều tra thu nhập bình quân đầu người trên địa bàn năm 2024</t>
  </si>
  <si>
    <t>- Thuê phát cỏ phục vụ việc cắm mốc, giao nền đấu giá quyền sử dụng đất 60 nền Lô OM2 tại Khu tái định cư tuyến đường cao tốc Mỹ Thuận- Cần Thơ</t>
  </si>
  <si>
    <t>- Thuê đơn vị tư vấn khảo sát, định giá đất làm cơ sở xác định giá khởi điểm đấu giá quyền sử dụng đất đối với (60 nền) thuộc Lô OM2 tại Khu tái định cư dự án Đường cao tốc Mỹ Thuận - Cần Thơ</t>
  </si>
  <si>
    <t>- Sn. Môi trường</t>
  </si>
  <si>
    <t>- Phối hợp Đoàn TNCS Hồ Chí Minh Huyện tổ chức hoạt động ngày môi trường thế giới 5/6</t>
  </si>
  <si>
    <t>- Thực hiện tuyên truyền về phân loại rác tại nguồn trên địa bàn Huyện</t>
  </si>
  <si>
    <t>- Thực hiện Mô hình vận động đào hố chứa rác hữu cơ (xã Tân Nhuận Đông và xã Hòa Tân)</t>
  </si>
  <si>
    <t>- thực hiện tuyên truyền về bảo vệ môi trường và ứng phó biến đổi khí hậu</t>
  </si>
  <si>
    <t>- Thực hiện Mô hình tái chế chất thải hữu cơ, phụ phẩm nông nghiệp quy mô cấp Xã</t>
  </si>
  <si>
    <t>- Chi huy động dân quân tự vệ thực hiện vệ sinh môi trường trên địa bàn huyện</t>
  </si>
  <si>
    <t>- Chi công tác ban hành văn bản quy phạm pháp luật</t>
  </si>
  <si>
    <t>- Trả phí ứng vốn dự án Khu tái định cư cao tốc Mỹ Thuận – Cần Thơ, hạng mục: hệ thống điện, hệ thống giao thông và hệ thống cấp, thoát nước</t>
  </si>
  <si>
    <t>- Chi hỗ trợ, bồi dưỡng thực hiện công tác tổng hợp các chỉ tiêu kinh tế - xã hội và khóa sổ, lập báo cáo quyết toán NSNN năm 2023</t>
  </si>
  <si>
    <t>- Chi công tác tuyển quân năm 2024</t>
  </si>
  <si>
    <t>- Chi tổ chức Lễ phát động phong trào “Tết Nhân ái” Xuân Giáp Thìn năm 2024 tại huyện Châu Thành</t>
  </si>
  <si>
    <t>- Chi phối hợp tổ chức hội chợ mua sắm Tết và ẩm thực hàng Việt Nam- Thái Lan</t>
  </si>
  <si>
    <t>- Trợ cấp thôi việc cho bà Nguyễn Thị Thúy Hằng theo quy định tại Nghị định số 46/2010/NĐ-CP của Chính phủ</t>
  </si>
  <si>
    <t>- Hỗ trợ KP thực hiện cưỡng chế thi hành án đối với hộ bà Quách Thị Hồng, cư ngụ ấp Thạnh Phú, xã Tân Bình</t>
  </si>
  <si>
    <t>- Hỗ trợ kinh phí hoạt động cho Ban chỉ đạo thi hành án dân sự</t>
  </si>
  <si>
    <t>- Chi công tác xây dựng và ban hành văn bản quy phạm pháp luật theo Nghị quyết số 31/2022/NQ-HĐND ngày 9/12/2022 của Hội đồng nhân dân tỉnh Đồng Tháp</t>
  </si>
  <si>
    <t>- Trợ cấp thôi việc cho ông Trần Quốc Khiết theo quy định tại Nghị định số 46/2010/NĐ-CP của Chính phủ</t>
  </si>
  <si>
    <t>- Tham gia hội thi ẩm thực các món ăn chế biến từ sen tại Lễ hội Sen tỉnh Đồng Tháp</t>
  </si>
  <si>
    <t>- Chi trợ cấp thôi việc cho ông Lê Tấn Đa theo quy định tại Nghị định số 115/2020/NĐ-CP của Chính phủ</t>
  </si>
  <si>
    <t>- Phục vụ tiếp Đoàn Thanh tra Sở kế hoạch và Đầu tư</t>
  </si>
  <si>
    <t>- Tổ chức Đại hội Hội Luật gia nhiệm kỳ 2024-2029</t>
  </si>
  <si>
    <t>- Tổ chức Hội nghị biểu dương Người cao tuổi tiêu biểu tham gia xây dựng hệ thống chính trị cơ sở giai đoạn 2019-2024</t>
  </si>
  <si>
    <t>- Chi hợp đồng lao động hỗ trợ, phục vụ công việc tiếp nhận và trả kết quả tại Bộ phận Tiếp nhận và trả kết quả Huyện</t>
  </si>
  <si>
    <t>- Chi trả Hợp đồng lao động hỗ trợ, phục vụ công việc giải quyết thủ tục hành chính về đất đai</t>
  </si>
  <si>
    <t>- KP thực hiện công tác phòng, chống dịch bệnh trên động vật, gia súc, gia cầm và thủy sản năm 2024</t>
  </si>
  <si>
    <t>- Diễn tập khu vực phòng thủ cấp huyện và cụm xã, thị trấn</t>
  </si>
  <si>
    <t>Thuê đơn vị tổ chức sự kiện để cung cấp trang thiết bị phục vụ công tác diễn tập khu vực phòng thủ huyện năm 2024</t>
  </si>
  <si>
    <t>- 'Chi thăm hỏi, tặng quà người có công với cách mạng và gia đình người có công với cách mạng nhân ngày Tết Nguyên đán năm 2024</t>
  </si>
  <si>
    <t>- Đối ứng thực hiện công trình nâng cấp, cải tạo Nghĩa trang liệt sĩ huyện</t>
  </si>
  <si>
    <t>Trang bị Tivi phục vụ mô hình kiểm tra, theo dõi, giám sát tình hình hoạt động của các Bộ phận Tiếp nhận và Trả kết quả qua hệ thống camera</t>
  </si>
  <si>
    <t>- Chi trợ cấp thôi tham gia công tác Hội cựu chiến binh cho ông Trần Thanh Bình theo quy định tại Thông tư số 03/2020/TT-BLĐTBXH</t>
  </si>
  <si>
    <t>- Tổ chức cấp huyện và tham dự cấp tỉnh Hội thi nghiệp vụ chữa cháy và cứu nạn, cứu hộ “Tổ liên gia an toàn phòng cháy, chữa cháy” huyện Châu Thành năm 2024</t>
  </si>
  <si>
    <t>- Chi trợ cấp lương cho cán bộ Hội là người mù năm 2024</t>
  </si>
  <si>
    <t>- Chi tổ chức Đại hội Hội người cao tuổi Huyện khóa V, nhiệm kỳ 2021 - 2026.</t>
  </si>
  <si>
    <t>Tabmis</t>
  </si>
  <si>
    <t>NS Huyện</t>
  </si>
  <si>
    <t>- Chi tổ chức Ngày hội Nông sản Châu Thành lần 1 năm 2024</t>
  </si>
  <si>
    <t>NS huyện</t>
  </si>
  <si>
    <t>- Mua sắm máy scan phục vụ số hóa hồ sơ thủ tục hành chính lĩnh vực đất đai tại Bộ phận tiếp nhận và trả kết quả</t>
  </si>
  <si>
    <t>- Trang bị Tivi phục vụ mô hình kiểm tra, theo dõi, giám sát tình hình hoạt động của các Bộ phận Tiếp nhận và Trả kết quả qua hệ thống camera</t>
  </si>
  <si>
    <t>- Mua sắm trang thiết bị và chi phí phục vụ chuyên môn tại Kho lưu trữ tập trung Huyện</t>
  </si>
  <si>
    <t>- Tổ chức Hội thao thể dục, thể thao và kiểm tra công tác huấn luyện Dân quân tự vệ năm 2024</t>
  </si>
  <si>
    <t>- Xây dựng hàng rào Trạm xử lý nước thải khu tái định cư dự án đường cao tốc Mỹ Thuận- Cần Thơ</t>
  </si>
  <si>
    <t xml:space="preserve">- Thực hiện Thống kê đất đai năm 2023 </t>
  </si>
  <si>
    <t>- Chi trợ cấp thôi việc cho bà Nguyễn Thị Hoàng Vinh</t>
  </si>
  <si>
    <t>- Triển khai nhân rộng mô hình "Nông dân Châu Thành sử dụng rác thải sinh hoạt, phụ phẩm nông nghiệp tạo ra chế phẩm sinh học thành phân hữu cơ phục vụ sản xuất" năm 2024</t>
  </si>
  <si>
    <t>- Thuê đơn vị tư vấn thiết kế logo nhãn hiệu “Sầu riêng Châu Thành - Đồng Tháp”</t>
  </si>
  <si>
    <t>- Nâng cấp, mở rộng sân Quần vợt tại Trung tâm Văn hóa- Thể thao và Truyền thanh Huyện</t>
  </si>
  <si>
    <t>- Tạm cấp KP để thực hiện tạm ứng kinh phí chi tổ chức cưỡng chế thi hành quyết định xử phạt vi phạm hành chính theo các Quyết định của UBND Huyện</t>
  </si>
  <si>
    <t>- Thực hiện thí điểm mô hình tái chế chất thải hữu cơ, phụ phẩm nông nghiệp quy mô cấp xã phục vụ sản xuất nông nghiệp theo hướng an toàn, hữu cơ</t>
  </si>
  <si>
    <t>Dự phòng</t>
  </si>
  <si>
    <t>NS Tỉnh</t>
  </si>
  <si>
    <t>Trường đang trình chủ trương xin sử dụng nội dung khác</t>
  </si>
  <si>
    <t>Trường đang trình chủ trương xin sử dụng để sửa chữa 2 nhà vệ sinh</t>
  </si>
  <si>
    <t>2519/UBND-KT ngày 11/6/2024</t>
  </si>
  <si>
    <t>Trang phục thể dục</t>
  </si>
  <si>
    <t>Trẻ 3-5 tuổi</t>
  </si>
  <si>
    <t>Sửa chửa</t>
  </si>
  <si>
    <t>Khuyết tật</t>
  </si>
  <si>
    <t>Đào tạo</t>
  </si>
  <si>
    <t xml:space="preserve">- Tổ chức tổ chức Lễ Công bố Quyết định công nhận huyện Châu Thành đạt chuẩn Nông thôn mới năm 2023 </t>
  </si>
  <si>
    <t>- Chi tham dự tham gia trưng bày tại hội thi và triển lãm sinh vật cảnh Đồng bằng sông Cửu Long mở rộng nhân dịp tổ chức Festival hoa kiểng lần thứ I năm 2023</t>
  </si>
  <si>
    <t>- Xây dựng mô hình tuyên tuyền và mô hình sử dụng túi chuyên dùng (đựng bao bì, chai lọ thuốc bảo vệ thực vật trong sản xuất nông nghiệp) và thu gom bao bì thuốc BVTV ra điểm tập kết</t>
  </si>
  <si>
    <t>011-LCT</t>
  </si>
  <si>
    <t>777/QĐ-UBND ngày 29/08/2024: Cho sử dụng phần chi thừa</t>
  </si>
  <si>
    <t>777/QĐ-UBND ngày 29/08/2024: Cho sử dụng phần chi thừa 60tr</t>
  </si>
  <si>
    <t>- 03 Máy vi tính</t>
  </si>
  <si>
    <t>- Chi hỗ trợ người lao động đi làm việc ở nước ngoài theo hợp đồng</t>
  </si>
  <si>
    <t>- Tủ hồ sơ (tủ gỗ) đặt tại Phòng trao kết hôn phục vụ công tác đăng ký hộ tịch (dùng để hồ sơ, hoa, văn phòng phẩm,…)</t>
  </si>
  <si>
    <t>SN. Giáo dục</t>
  </si>
  <si>
    <t>Thu hồi do giảm chỉ tiêu biên chế so dự toán đầu năm và KP hoạt động Đảng ủy khối</t>
  </si>
  <si>
    <t>TỔNG HỢP KINH PHÍ HẾT NHIỆM VỤ CHI NĂM 2024</t>
  </si>
  <si>
    <t>PHÂN BỔ NHIỆM VỤ CHI TỪ NGUỒN KINH PHÍ HẾT NHIỆM VỤ CHI NĂM 2024</t>
  </si>
  <si>
    <t>Đối ứng thực hiện công trình nâng cấp, cải tạo Nghĩa trang liệt sĩ huyện</t>
  </si>
  <si>
    <t>Phòng LĐ-TBXH</t>
  </si>
  <si>
    <t>42/QĐ-UBND ngày 16/01/2024</t>
  </si>
  <si>
    <t>VP. UBND Huyện; Phòng Nội vụ</t>
  </si>
  <si>
    <t>Chi trợ cấp thôi tham gia công tác Hội cựu chiến binh cho ông Trần Thanh Bình theo quy định tại Thông tư số 03/2020/TT-BLĐTBXH</t>
  </si>
  <si>
    <t>Hội Cựu chiến binh Huyện</t>
  </si>
  <si>
    <t>Tổ chức cấp huyện và tham dự cấp tỉnh Hội thi nghiệp vụ chữa cháy và cứu nạn, cứu hộ “Tổ liên gia an toàn phòng cháy, chữa cháy” huyện Châu Thành năm 2024</t>
  </si>
  <si>
    <t>187/QĐ-UBND ngày 06/03/2024</t>
  </si>
  <si>
    <t>292/QĐ-UBND ngày 28/03/2024</t>
  </si>
  <si>
    <t>371/QĐ-UBND ngày 17/04/2024</t>
  </si>
  <si>
    <t>Chi trợ cấp lương cho cán bộ Hội là người mù năm 2024</t>
  </si>
  <si>
    <t>389/QĐ-UBND ngày 23/04/2024</t>
  </si>
  <si>
    <t>Chi tổ chức Đại hội Hội người cao tuổi Huyện khóa V, nhiệm kỳ 2021 - 2026.</t>
  </si>
  <si>
    <t>Hội Người Cao tuổi</t>
  </si>
  <si>
    <t>398/QĐ-UBND ngày 25/04/2024</t>
  </si>
  <si>
    <t>Chi tổ chức Ngày hội Nông sản Châu Thành lần 1 năm 2024</t>
  </si>
  <si>
    <t>524/QĐ-UBND ngày 04/06/2024</t>
  </si>
  <si>
    <t>Mua sắm máy scan phục vụ số hóa hồ sơ thủ tục hành chính lĩnh vực đất đai tại Bộ phận tiếp nhận và trả kết quả</t>
  </si>
  <si>
    <t>369/QĐ-UBND ngày 07/05/2024</t>
  </si>
  <si>
    <t>563/QĐ-UBND ngày 12/06/2024</t>
  </si>
  <si>
    <t>Mua sắm trang thiết bị và chi phí phục vụ chuyên môn tại Kho lưu trữ tập trung Huyện</t>
  </si>
  <si>
    <t>Tổ chức Hội thao thể dục, thể thao và kiểm tra công tác huấn luyện Dân quân tự vệ năm 2024</t>
  </si>
  <si>
    <t>590/QĐ-UBND ngày 24/6/2024</t>
  </si>
  <si>
    <t>Xây dựng hàng rào Trạm xử lý nước thải khu tái định cư dự án đường cao tốc Mỹ Thuận- Cần Thơ</t>
  </si>
  <si>
    <t>621/QĐ-UBND ngày 02/7/2024</t>
  </si>
  <si>
    <t xml:space="preserve">Thực hiện Thống kê đất đai năm 2023 </t>
  </si>
  <si>
    <t>P. TN&amp;MT</t>
  </si>
  <si>
    <t>625/QĐ-UBND ngày 04/7/2024</t>
  </si>
  <si>
    <t>Chi trợ cấp thôi việc cho bà Nguyễn Thị Hoàng Vinh</t>
  </si>
  <si>
    <t>Phòng GD&amp;ĐT</t>
  </si>
  <si>
    <t>629/QĐ-UBND ngày 08/7/2024</t>
  </si>
  <si>
    <t>Đối ứng KP thực hiện Chương trình mục tiêu QG xây dựng NTM năm 2024</t>
  </si>
  <si>
    <t>577/QĐ-UBND ngày 19/6/2024</t>
  </si>
  <si>
    <t>Triển khai nhân rộng mô hình "Nông dân Châu Thành sử dụng rác thải sinh hoạt, phụ phẩm nông nghiệp tạo ra chế phẩm sinh học thành phân hữu cơ phục vụ sản xuất" năm 2024</t>
  </si>
  <si>
    <t>694/QĐ-UBND ngày 25/7/2024</t>
  </si>
  <si>
    <t>Thuê đơn vị tư vấn thiết kế logo nhãn hiệu “Sầu riêng Châu Thành - Đồng Tháp”</t>
  </si>
  <si>
    <t>P. Nông nghiệp- PTNT</t>
  </si>
  <si>
    <t>712/QĐ-UBND ngày 02/8/2024</t>
  </si>
  <si>
    <t>Nâng cấp, mở rộng sân Quần vợt tại Trung tâm Văn hóa- Thể thao và Truyền thanh Huyện</t>
  </si>
  <si>
    <t>TT. VH-TT&amp;TT Huyện</t>
  </si>
  <si>
    <t>710/QĐ-UBND ngày 02/8/2024</t>
  </si>
  <si>
    <t>Chi mua đồng phục (áo, nón), sổ tay, viết, bìa sơmi cho các thành viên của “Tân Phát Hội quán” xã Tân Nhuận Đông</t>
  </si>
  <si>
    <t>728/QĐ-UBND ngày 8/8/2024</t>
  </si>
  <si>
    <t>Thực hiện thí điểm mô hình tái chế chất thải hữu cơ, phụ phẩm nông nghiệp quy mô cấp xã phục vụ sản xuất nông nghiệp theo hướng an toàn, hữu cơ</t>
  </si>
  <si>
    <t>Phòng NN-PTNT</t>
  </si>
  <si>
    <t>749/QĐ-UBND ngày 19/8/2024</t>
  </si>
  <si>
    <t>Nâng cấp đường giao thông nội bộ thuộc Công an Huyện</t>
  </si>
  <si>
    <t>BQL. Công trình CC</t>
  </si>
  <si>
    <t>764/QĐ-UBND ngày 23/8/2024</t>
  </si>
  <si>
    <t>Tham gia Giải Marathon Đất Sen hồng – Đồng Tháp năm 2024</t>
  </si>
  <si>
    <t>Chi SN thể thao</t>
  </si>
  <si>
    <t>(Kèm theo Nghị quyết số        /NQ-HĐND ngày         tháng  9 năm 2024 của Hội đồng nhân dân huyện Châu Thành)</t>
  </si>
  <si>
    <t>(Kèm theo Tờ trình số 180/TTr-UBND ngày 11 tháng 9 năm 2024 của UBND huyện Châu Thành)</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</si>
</sst>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_);_(* \(#,##0\);_(* &quot;-&quot;??_);_(@_)"/>
    <numFmt numFmtId="165" formatCode="#,##0.0_);\(#,##0.0\)"/>
    <numFmt numFmtId="166" formatCode="#,##0.0"/>
  </numFmts>
  <fonts count="53" x14ac:knownFonts="1">
    <font>
      <sz val="12"/>
      <color theme="1"/>
      <name val="Times New Roman"/>
      <family val="2"/>
    </font>
    <font>
      <sz val="12"/>
      <color theme="1"/>
      <name val="Times New Roman"/>
      <family val="2"/>
    </font>
    <font>
      <b/>
      <sz val="14"/>
      <name val="Times New Roman"/>
      <family val="1"/>
    </font>
    <font>
      <sz val="13"/>
      <name val="Times New Roman"/>
      <family val="1"/>
    </font>
    <font>
      <b/>
      <sz val="13"/>
      <name val="Times New Roman"/>
      <family val="1"/>
    </font>
    <font>
      <i/>
      <sz val="10"/>
      <name val="Times New Roman"/>
      <family val="1"/>
    </font>
    <font>
      <b/>
      <sz val="12"/>
      <name val="Times New Roman"/>
      <family val="1"/>
    </font>
    <font>
      <sz val="12"/>
      <name val="Times New Roman"/>
      <family val="1"/>
    </font>
    <font>
      <i/>
      <sz val="12"/>
      <name val="Times New Roman"/>
      <family val="1"/>
    </font>
    <font>
      <b/>
      <i/>
      <sz val="12"/>
      <color rgb="FFFF0000"/>
      <name val="Times New Roman"/>
      <family val="1"/>
    </font>
    <font>
      <b/>
      <sz val="13"/>
      <color indexed="10"/>
      <name val="Times New Roman"/>
      <family val="1"/>
    </font>
    <font>
      <sz val="13"/>
      <color indexed="10"/>
      <name val="Times New Roman"/>
      <family val="1"/>
    </font>
    <font>
      <b/>
      <sz val="12"/>
      <color indexed="10"/>
      <name val="Times New Roman"/>
      <family val="1"/>
    </font>
    <font>
      <sz val="12"/>
      <color indexed="10"/>
      <name val="Times New Roman"/>
      <family val="1"/>
    </font>
    <font>
      <b/>
      <i/>
      <sz val="12"/>
      <color indexed="12"/>
      <name val="Times New Roman"/>
      <family val="1"/>
    </font>
    <font>
      <sz val="12"/>
      <color indexed="12"/>
      <name val="Times New Roman"/>
      <family val="1"/>
    </font>
    <font>
      <sz val="12"/>
      <color rgb="FF0000FF"/>
      <name val="Times New Roman"/>
      <family val="1"/>
    </font>
    <font>
      <sz val="12"/>
      <color rgb="FFFF0000"/>
      <name val="Times New Roman"/>
      <family val="1"/>
    </font>
    <font>
      <i/>
      <sz val="12"/>
      <color indexed="12"/>
      <name val="Times New Roman"/>
      <family val="1"/>
    </font>
    <font>
      <b/>
      <sz val="12"/>
      <color indexed="12"/>
      <name val="Times New Roman"/>
      <family val="1"/>
    </font>
    <font>
      <b/>
      <i/>
      <sz val="12"/>
      <color indexed="10"/>
      <name val="Times New Roman"/>
      <family val="1"/>
    </font>
    <font>
      <i/>
      <sz val="12"/>
      <color indexed="10"/>
      <name val="Times New Roman"/>
      <family val="1"/>
    </font>
    <font>
      <b/>
      <u/>
      <sz val="13"/>
      <color indexed="10"/>
      <name val="Times New Roman"/>
      <family val="1"/>
    </font>
    <font>
      <b/>
      <sz val="9"/>
      <color indexed="81"/>
      <name val="Tahoma"/>
      <family val="2"/>
    </font>
    <font>
      <sz val="9"/>
      <color indexed="81"/>
      <name val="Tahoma"/>
      <family val="2"/>
    </font>
    <font>
      <sz val="12"/>
      <color indexed="81"/>
      <name val="Tahoma"/>
      <family val="2"/>
    </font>
    <font>
      <b/>
      <sz val="12"/>
      <color rgb="FFFF0000"/>
      <name val="Times New Roman"/>
      <family val="1"/>
    </font>
    <font>
      <b/>
      <sz val="12"/>
      <color rgb="FF0000FF"/>
      <name val="Times New Roman"/>
      <family val="1"/>
    </font>
    <font>
      <b/>
      <i/>
      <sz val="12"/>
      <name val="Times New Roman"/>
      <family val="1"/>
    </font>
    <font>
      <b/>
      <sz val="13"/>
      <color rgb="FFFF0000"/>
      <name val="Times New Roman"/>
      <family val="1"/>
    </font>
    <font>
      <b/>
      <sz val="12"/>
      <color theme="1"/>
      <name val="Times New Roman"/>
      <family val="1"/>
    </font>
    <font>
      <sz val="14"/>
      <name val="Times New Roman"/>
      <family val="1"/>
    </font>
    <font>
      <b/>
      <sz val="14"/>
      <color indexed="12"/>
      <name val="Times New Roman"/>
      <family val="1"/>
    </font>
    <font>
      <i/>
      <sz val="14"/>
      <name val="Times New Roman"/>
      <family val="1"/>
    </font>
    <font>
      <sz val="10"/>
      <name val="Times New Roman"/>
      <family val="1"/>
    </font>
    <font>
      <i/>
      <sz val="12"/>
      <color theme="1"/>
      <name val="Times New Roman"/>
      <family val="1"/>
    </font>
    <font>
      <sz val="10"/>
      <color theme="1"/>
      <name val="Times New Roman"/>
      <family val="2"/>
    </font>
    <font>
      <sz val="12"/>
      <color theme="1"/>
      <name val="Times New Roman"/>
      <family val="1"/>
    </font>
    <font>
      <sz val="10"/>
      <color theme="1"/>
      <name val="Times New Roman"/>
      <family val="1"/>
    </font>
    <font>
      <b/>
      <i/>
      <sz val="12"/>
      <color theme="1"/>
      <name val="Times New Roman"/>
      <family val="1"/>
    </font>
    <font>
      <b/>
      <sz val="13"/>
      <color rgb="FF0000FF"/>
      <name val="Times New Roman"/>
      <family val="1"/>
    </font>
    <font>
      <sz val="13"/>
      <color rgb="FFFF0000"/>
      <name val="Times New Roman"/>
      <family val="1"/>
    </font>
    <font>
      <sz val="14"/>
      <color rgb="FFFF0000"/>
      <name val="Times New Roman"/>
      <family val="1"/>
    </font>
    <font>
      <b/>
      <sz val="14"/>
      <color rgb="FFFF0000"/>
      <name val="Times New Roman"/>
      <family val="1"/>
    </font>
    <font>
      <b/>
      <sz val="10"/>
      <color rgb="FFFF0000"/>
      <name val="Times New Roman"/>
      <family val="1"/>
    </font>
    <font>
      <sz val="8"/>
      <color theme="1"/>
      <name val="Times New Roman"/>
      <family val="2"/>
    </font>
    <font>
      <b/>
      <sz val="8"/>
      <color rgb="FF0000FF"/>
      <name val="Times New Roman"/>
      <family val="1"/>
    </font>
    <font>
      <i/>
      <sz val="12"/>
      <color indexed="81"/>
      <name val="Tahoma"/>
      <family val="2"/>
    </font>
    <font>
      <i/>
      <sz val="10"/>
      <color rgb="FFFF0000"/>
      <name val="Times New Roman"/>
      <family val="1"/>
    </font>
    <font>
      <i/>
      <sz val="12"/>
      <color rgb="FFFF0000"/>
      <name val="Times New Roman"/>
      <family val="1"/>
    </font>
    <font>
      <sz val="12"/>
      <color rgb="FFFF0000"/>
      <name val="Times New Roman"/>
      <family val="2"/>
    </font>
    <font>
      <sz val="9"/>
      <color indexed="81"/>
      <name val="Tahoma"/>
    </font>
    <font>
      <b/>
      <sz val="9"/>
      <color indexed="81"/>
      <name val="Tahoma"/>
    </font>
  </fonts>
  <fills count="8">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FFFF00"/>
        <bgColor indexed="64"/>
      </patternFill>
    </fill>
    <fill>
      <patternFill patternType="solid">
        <fgColor indexed="65"/>
        <bgColor indexed="64"/>
      </patternFill>
    </fill>
    <fill>
      <patternFill patternType="solid">
        <fgColor theme="2"/>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43" fontId="1" fillId="0" borderId="0" applyFont="0" applyFill="0" applyBorder="0" applyAlignment="0" applyProtection="0"/>
  </cellStyleXfs>
  <cellXfs count="365">
    <xf numFmtId="0" fontId="0" fillId="0" borderId="0" xfId="0"/>
    <xf numFmtId="0" fontId="3" fillId="0" borderId="0" xfId="0" applyFont="1" applyFill="1" applyAlignment="1">
      <alignment vertical="center"/>
    </xf>
    <xf numFmtId="0" fontId="7" fillId="0" borderId="0" xfId="0" applyFont="1" applyFill="1" applyAlignment="1">
      <alignment vertical="center"/>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0" xfId="0" applyFont="1" applyFill="1" applyAlignment="1">
      <alignment vertical="center"/>
    </xf>
    <xf numFmtId="0" fontId="8" fillId="0" borderId="0" xfId="0" applyFont="1" applyFill="1" applyAlignment="1">
      <alignment vertical="center"/>
    </xf>
    <xf numFmtId="164" fontId="9" fillId="0" borderId="0" xfId="0" applyNumberFormat="1" applyFont="1" applyFill="1" applyAlignment="1">
      <alignment vertical="center"/>
    </xf>
    <xf numFmtId="164" fontId="10" fillId="0" borderId="0" xfId="0" applyNumberFormat="1" applyFont="1" applyFill="1" applyAlignment="1">
      <alignment vertical="center"/>
    </xf>
    <xf numFmtId="0" fontId="11" fillId="0" borderId="0" xfId="0" applyFont="1" applyFill="1" applyAlignment="1">
      <alignment vertical="center"/>
    </xf>
    <xf numFmtId="0" fontId="12" fillId="2" borderId="4" xfId="0" applyFont="1" applyFill="1" applyBorder="1" applyAlignment="1">
      <alignment horizontal="center" vertical="center" wrapText="1"/>
    </xf>
    <xf numFmtId="0" fontId="12" fillId="2" borderId="4" xfId="0" applyFont="1" applyFill="1" applyBorder="1" applyAlignment="1">
      <alignment horizontal="left" vertical="center" wrapText="1"/>
    </xf>
    <xf numFmtId="164" fontId="12" fillId="2" borderId="4" xfId="1" applyNumberFormat="1" applyFont="1" applyFill="1" applyBorder="1" applyAlignment="1">
      <alignment horizontal="right" vertical="center" wrapText="1"/>
    </xf>
    <xf numFmtId="0" fontId="13" fillId="0" borderId="0" xfId="0" applyFont="1" applyFill="1" applyAlignment="1">
      <alignment vertical="center"/>
    </xf>
    <xf numFmtId="0" fontId="12" fillId="0" borderId="5" xfId="0" applyFont="1" applyFill="1" applyBorder="1" applyAlignment="1">
      <alignment horizontal="center" vertical="center"/>
    </xf>
    <xf numFmtId="0" fontId="12" fillId="0" borderId="5" xfId="0" applyFont="1" applyFill="1" applyBorder="1" applyAlignment="1">
      <alignment horizontal="justify" vertical="center" wrapText="1"/>
    </xf>
    <xf numFmtId="164" fontId="12" fillId="0" borderId="5" xfId="1" applyNumberFormat="1" applyFont="1" applyFill="1" applyBorder="1" applyAlignment="1">
      <alignment horizontal="right" vertical="center" wrapText="1"/>
    </xf>
    <xf numFmtId="164" fontId="13" fillId="0" borderId="0" xfId="0" applyNumberFormat="1" applyFont="1" applyFill="1" applyAlignment="1">
      <alignment vertical="center"/>
    </xf>
    <xf numFmtId="0" fontId="14" fillId="0" borderId="5" xfId="0" applyFont="1" applyFill="1" applyBorder="1" applyAlignment="1">
      <alignment horizontal="center" vertical="center"/>
    </xf>
    <xf numFmtId="0" fontId="14" fillId="0" borderId="5" xfId="0" applyFont="1" applyFill="1" applyBorder="1" applyAlignment="1">
      <alignment horizontal="justify" vertical="center" wrapText="1"/>
    </xf>
    <xf numFmtId="3" fontId="14" fillId="0" borderId="5" xfId="0" applyNumberFormat="1" applyFont="1" applyFill="1" applyBorder="1" applyAlignment="1">
      <alignment horizontal="right" vertical="center" wrapText="1"/>
    </xf>
    <xf numFmtId="3" fontId="14" fillId="0" borderId="0" xfId="0" applyNumberFormat="1" applyFont="1" applyFill="1" applyAlignment="1">
      <alignment vertical="center"/>
    </xf>
    <xf numFmtId="0" fontId="15" fillId="0" borderId="0" xfId="0" applyFont="1" applyFill="1" applyAlignment="1">
      <alignment vertical="center"/>
    </xf>
    <xf numFmtId="0" fontId="14" fillId="0" borderId="0" xfId="0" applyFont="1" applyFill="1" applyAlignment="1">
      <alignment vertical="center"/>
    </xf>
    <xf numFmtId="0" fontId="7" fillId="0" borderId="5" xfId="0" applyFont="1" applyFill="1" applyBorder="1" applyAlignment="1">
      <alignment horizontal="center" vertical="center"/>
    </xf>
    <xf numFmtId="0" fontId="7" fillId="0" borderId="5" xfId="0" quotePrefix="1" applyFont="1" applyFill="1" applyBorder="1" applyAlignment="1">
      <alignment horizontal="justify" vertical="center" wrapText="1"/>
    </xf>
    <xf numFmtId="3" fontId="7" fillId="0" borderId="5" xfId="0" applyNumberFormat="1" applyFont="1" applyFill="1" applyBorder="1" applyAlignment="1">
      <alignment vertical="center"/>
    </xf>
    <xf numFmtId="164" fontId="7" fillId="0" borderId="5" xfId="1" applyNumberFormat="1" applyFont="1" applyFill="1" applyBorder="1" applyAlignment="1">
      <alignment horizontal="right" vertical="center" wrapText="1"/>
    </xf>
    <xf numFmtId="3" fontId="7" fillId="0" borderId="5" xfId="0" applyNumberFormat="1" applyFont="1" applyFill="1" applyBorder="1" applyAlignment="1">
      <alignment horizontal="right" vertical="center" wrapText="1"/>
    </xf>
    <xf numFmtId="3" fontId="16" fillId="0" borderId="0" xfId="0" applyNumberFormat="1" applyFont="1" applyFill="1" applyAlignment="1">
      <alignment vertical="center"/>
    </xf>
    <xf numFmtId="3" fontId="15" fillId="0" borderId="0" xfId="0" applyNumberFormat="1" applyFont="1" applyFill="1" applyAlignment="1">
      <alignment vertical="center"/>
    </xf>
    <xf numFmtId="3" fontId="17" fillId="0" borderId="0" xfId="0" applyNumberFormat="1" applyFont="1" applyFill="1" applyAlignment="1">
      <alignment vertical="center"/>
    </xf>
    <xf numFmtId="0" fontId="7" fillId="3" borderId="5" xfId="0" quotePrefix="1" applyFont="1" applyFill="1" applyBorder="1" applyAlignment="1">
      <alignment horizontal="left" vertical="center" wrapText="1"/>
    </xf>
    <xf numFmtId="0" fontId="7" fillId="0" borderId="5" xfId="0" quotePrefix="1" applyFont="1" applyBorder="1" applyAlignment="1">
      <alignment horizontal="justify" vertical="center" wrapText="1"/>
    </xf>
    <xf numFmtId="0" fontId="3" fillId="0" borderId="5" xfId="0" quotePrefix="1" applyFont="1" applyFill="1" applyBorder="1" applyAlignment="1">
      <alignment horizontal="left" vertical="center" wrapText="1"/>
    </xf>
    <xf numFmtId="0" fontId="7" fillId="3" borderId="5" xfId="0" quotePrefix="1" applyFont="1" applyFill="1" applyBorder="1" applyAlignment="1">
      <alignment horizontal="justify" vertical="center" wrapText="1"/>
    </xf>
    <xf numFmtId="0" fontId="8" fillId="0" borderId="5" xfId="0" applyFont="1" applyFill="1" applyBorder="1" applyAlignment="1">
      <alignment horizontal="center" vertical="center"/>
    </xf>
    <xf numFmtId="164" fontId="8" fillId="0" borderId="5" xfId="1" applyNumberFormat="1" applyFont="1" applyFill="1" applyBorder="1" applyAlignment="1">
      <alignment horizontal="right" vertical="center" wrapText="1"/>
    </xf>
    <xf numFmtId="0" fontId="18" fillId="0" borderId="0" xfId="0" applyFont="1" applyFill="1" applyAlignment="1">
      <alignment vertical="center"/>
    </xf>
    <xf numFmtId="0" fontId="15" fillId="0" borderId="5" xfId="0" applyFont="1" applyFill="1" applyBorder="1" applyAlignment="1">
      <alignment horizontal="center" vertical="center"/>
    </xf>
    <xf numFmtId="164" fontId="15" fillId="0" borderId="5" xfId="1" applyNumberFormat="1" applyFont="1" applyFill="1" applyBorder="1" applyAlignment="1">
      <alignment horizontal="right" vertical="center" wrapText="1"/>
    </xf>
    <xf numFmtId="3" fontId="7" fillId="0" borderId="5" xfId="0" quotePrefix="1" applyNumberFormat="1" applyFont="1" applyFill="1" applyBorder="1" applyAlignment="1">
      <alignment horizontal="justify" vertical="center" wrapText="1"/>
    </xf>
    <xf numFmtId="0" fontId="17" fillId="0" borderId="0" xfId="0" applyFont="1" applyFill="1" applyAlignment="1">
      <alignment vertical="center"/>
    </xf>
    <xf numFmtId="164" fontId="12" fillId="0" borderId="0" xfId="0" applyNumberFormat="1" applyFont="1" applyFill="1" applyAlignment="1">
      <alignment vertical="center"/>
    </xf>
    <xf numFmtId="0" fontId="12" fillId="0" borderId="0" xfId="0" applyFont="1" applyFill="1" applyAlignment="1">
      <alignment vertical="center"/>
    </xf>
    <xf numFmtId="0" fontId="6" fillId="0" borderId="5" xfId="0" applyFont="1" applyFill="1" applyBorder="1" applyAlignment="1">
      <alignment horizontal="center" vertical="center"/>
    </xf>
    <xf numFmtId="0" fontId="19" fillId="0" borderId="5" xfId="0" applyFont="1" applyFill="1" applyBorder="1" applyAlignment="1">
      <alignment horizontal="center" vertical="center"/>
    </xf>
    <xf numFmtId="164" fontId="7" fillId="4" borderId="5" xfId="1" applyNumberFormat="1" applyFont="1" applyFill="1" applyBorder="1" applyAlignment="1">
      <alignment horizontal="right" vertical="center" wrapText="1"/>
    </xf>
    <xf numFmtId="0" fontId="12" fillId="2" borderId="5" xfId="0" applyFont="1" applyFill="1" applyBorder="1" applyAlignment="1">
      <alignment horizontal="center" vertical="center" wrapText="1"/>
    </xf>
    <xf numFmtId="0" fontId="12" fillId="2" borderId="5" xfId="0" applyFont="1" applyFill="1" applyBorder="1" applyAlignment="1">
      <alignment horizontal="justify" vertical="center" wrapText="1"/>
    </xf>
    <xf numFmtId="164" fontId="12" fillId="2" borderId="5" xfId="1" applyNumberFormat="1" applyFont="1" applyFill="1" applyBorder="1" applyAlignment="1">
      <alignment horizontal="right" vertical="center" wrapText="1"/>
    </xf>
    <xf numFmtId="3" fontId="15" fillId="0" borderId="0" xfId="0" applyNumberFormat="1" applyFont="1" applyFill="1" applyBorder="1" applyAlignment="1">
      <alignment vertical="center"/>
    </xf>
    <xf numFmtId="3" fontId="15" fillId="0" borderId="0" xfId="0" applyNumberFormat="1" applyFont="1" applyFill="1" applyBorder="1" applyAlignment="1">
      <alignment horizontal="left" vertical="center" wrapText="1"/>
    </xf>
    <xf numFmtId="0" fontId="15" fillId="0" borderId="0" xfId="0" applyFont="1" applyFill="1" applyAlignment="1">
      <alignment horizontal="center" vertical="center"/>
    </xf>
    <xf numFmtId="164" fontId="15" fillId="0" borderId="0" xfId="0" applyNumberFormat="1" applyFont="1" applyFill="1" applyAlignment="1">
      <alignment vertical="center"/>
    </xf>
    <xf numFmtId="164" fontId="12" fillId="0" borderId="5" xfId="1" applyNumberFormat="1" applyFont="1" applyFill="1" applyBorder="1" applyAlignment="1">
      <alignment horizontal="center" vertical="center" wrapText="1"/>
    </xf>
    <xf numFmtId="164" fontId="12" fillId="0" borderId="5" xfId="1" applyNumberFormat="1" applyFont="1" applyFill="1" applyBorder="1" applyAlignment="1">
      <alignment horizontal="justify" vertical="center" wrapText="1"/>
    </xf>
    <xf numFmtId="164" fontId="20" fillId="0" borderId="5" xfId="1" applyNumberFormat="1" applyFont="1" applyFill="1" applyBorder="1" applyAlignment="1">
      <alignment horizontal="center" vertical="center" wrapText="1"/>
    </xf>
    <xf numFmtId="164" fontId="20" fillId="0" borderId="5" xfId="1" applyNumberFormat="1" applyFont="1" applyFill="1" applyBorder="1" applyAlignment="1">
      <alignment horizontal="justify" vertical="center" wrapText="1"/>
    </xf>
    <xf numFmtId="164" fontId="20" fillId="0" borderId="5" xfId="1" applyNumberFormat="1" applyFont="1" applyFill="1" applyBorder="1" applyAlignment="1">
      <alignment horizontal="right" vertical="center" wrapText="1"/>
    </xf>
    <xf numFmtId="0" fontId="21" fillId="0" borderId="0" xfId="0" applyFont="1" applyFill="1" applyAlignment="1">
      <alignment vertical="center"/>
    </xf>
    <xf numFmtId="164" fontId="6" fillId="0" borderId="5" xfId="1" applyNumberFormat="1" applyFont="1" applyFill="1" applyBorder="1" applyAlignment="1">
      <alignment horizontal="center" vertical="center" wrapText="1"/>
    </xf>
    <xf numFmtId="164" fontId="7" fillId="0" borderId="5" xfId="1" quotePrefix="1" applyNumberFormat="1" applyFont="1" applyFill="1" applyBorder="1" applyAlignment="1">
      <alignment horizontal="right" vertical="center" wrapText="1"/>
    </xf>
    <xf numFmtId="164" fontId="7" fillId="0" borderId="5" xfId="1" quotePrefix="1" applyNumberFormat="1" applyFont="1" applyFill="1" applyBorder="1" applyAlignment="1">
      <alignment horizontal="justify" vertical="center" wrapText="1"/>
    </xf>
    <xf numFmtId="164" fontId="19" fillId="0" borderId="5" xfId="1" applyNumberFormat="1" applyFont="1" applyFill="1" applyBorder="1" applyAlignment="1">
      <alignment horizontal="center" vertical="center" wrapText="1"/>
    </xf>
    <xf numFmtId="164" fontId="14" fillId="0" borderId="5" xfId="1" applyNumberFormat="1" applyFont="1" applyFill="1" applyBorder="1" applyAlignment="1">
      <alignment horizontal="center" vertical="center" wrapText="1"/>
    </xf>
    <xf numFmtId="164" fontId="14" fillId="0" borderId="5" xfId="1" applyNumberFormat="1" applyFont="1" applyFill="1" applyBorder="1" applyAlignment="1">
      <alignment horizontal="justify" vertical="center" wrapText="1"/>
    </xf>
    <xf numFmtId="164" fontId="14" fillId="0" borderId="5" xfId="1" quotePrefix="1" applyNumberFormat="1" applyFont="1" applyFill="1" applyBorder="1" applyAlignment="1">
      <alignment horizontal="right" vertical="center" wrapText="1"/>
    </xf>
    <xf numFmtId="164" fontId="14" fillId="0" borderId="0" xfId="0" applyNumberFormat="1" applyFont="1" applyFill="1" applyAlignment="1">
      <alignment vertical="center"/>
    </xf>
    <xf numFmtId="164" fontId="20" fillId="0" borderId="5" xfId="1" quotePrefix="1" applyNumberFormat="1" applyFont="1" applyFill="1" applyBorder="1" applyAlignment="1">
      <alignment horizontal="justify" vertical="center" wrapText="1"/>
    </xf>
    <xf numFmtId="164" fontId="20" fillId="0" borderId="5" xfId="1" quotePrefix="1" applyNumberFormat="1" applyFont="1" applyFill="1" applyBorder="1" applyAlignment="1">
      <alignment horizontal="right" vertical="center" wrapText="1"/>
    </xf>
    <xf numFmtId="0" fontId="13" fillId="0" borderId="0" xfId="0" applyFont="1" applyBorder="1" applyAlignment="1">
      <alignment horizontal="left" vertical="center"/>
    </xf>
    <xf numFmtId="164" fontId="12" fillId="2" borderId="5" xfId="1" applyNumberFormat="1" applyFont="1" applyFill="1" applyBorder="1" applyAlignment="1">
      <alignment horizontal="center" vertical="center" wrapText="1"/>
    </xf>
    <xf numFmtId="164" fontId="12" fillId="2" borderId="5" xfId="1" applyNumberFormat="1" applyFont="1" applyFill="1" applyBorder="1" applyAlignment="1">
      <alignment horizontal="justify" vertical="center" wrapText="1"/>
    </xf>
    <xf numFmtId="0" fontId="22" fillId="0" borderId="0" xfId="0" applyFont="1" applyFill="1" applyAlignment="1">
      <alignment horizontal="left" vertical="center"/>
    </xf>
    <xf numFmtId="3" fontId="13" fillId="0" borderId="0" xfId="0" applyNumberFormat="1" applyFont="1" applyFill="1" applyAlignment="1">
      <alignment horizontal="right" vertical="center"/>
    </xf>
    <xf numFmtId="0" fontId="13" fillId="0" borderId="0" xfId="0" applyFont="1" applyFill="1" applyAlignment="1">
      <alignment horizontal="right" vertical="center"/>
    </xf>
    <xf numFmtId="0" fontId="11" fillId="0" borderId="0" xfId="0" applyFont="1" applyFill="1" applyAlignment="1">
      <alignment horizontal="center" vertical="center"/>
    </xf>
    <xf numFmtId="0" fontId="11" fillId="0" borderId="0" xfId="0" quotePrefix="1" applyFont="1" applyFill="1" applyAlignment="1">
      <alignment vertical="center"/>
    </xf>
    <xf numFmtId="0" fontId="13" fillId="0" borderId="0" xfId="0"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center" vertical="center"/>
    </xf>
    <xf numFmtId="0" fontId="4" fillId="0" borderId="0" xfId="0" quotePrefix="1" applyFont="1" applyFill="1" applyBorder="1" applyAlignment="1">
      <alignment horizontal="center" vertical="center"/>
    </xf>
    <xf numFmtId="0" fontId="4" fillId="0" borderId="0"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0" borderId="0" xfId="0" applyFont="1" applyFill="1" applyBorder="1" applyAlignment="1">
      <alignment horizontal="right" vertical="center"/>
    </xf>
    <xf numFmtId="0" fontId="10" fillId="0" borderId="8" xfId="0" applyFont="1" applyFill="1" applyBorder="1" applyAlignment="1">
      <alignment horizontal="center" vertical="center" wrapText="1"/>
    </xf>
    <xf numFmtId="164" fontId="10" fillId="0" borderId="8" xfId="1" applyNumberFormat="1" applyFont="1" applyFill="1" applyBorder="1" applyAlignment="1">
      <alignment horizontal="right" vertical="center" wrapText="1"/>
    </xf>
    <xf numFmtId="0" fontId="7" fillId="0" borderId="5" xfId="0" quotePrefix="1" applyFont="1" applyFill="1" applyBorder="1" applyAlignment="1">
      <alignment horizontal="center" vertical="center" wrapText="1"/>
    </xf>
    <xf numFmtId="3" fontId="7" fillId="0" borderId="5" xfId="0" quotePrefix="1"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vertical="center"/>
    </xf>
    <xf numFmtId="164" fontId="14" fillId="0" borderId="5" xfId="0" applyNumberFormat="1" applyFont="1" applyFill="1" applyBorder="1" applyAlignment="1">
      <alignment horizontal="right" vertical="center" wrapText="1"/>
    </xf>
    <xf numFmtId="164" fontId="8" fillId="4" borderId="5" xfId="1" applyNumberFormat="1" applyFont="1" applyFill="1" applyBorder="1" applyAlignment="1">
      <alignment horizontal="right" vertical="center" wrapText="1"/>
    </xf>
    <xf numFmtId="164" fontId="6" fillId="0" borderId="7" xfId="1" applyNumberFormat="1" applyFont="1" applyFill="1" applyBorder="1" applyAlignment="1">
      <alignment horizontal="center" vertical="center" wrapText="1"/>
    </xf>
    <xf numFmtId="164" fontId="7" fillId="0" borderId="7" xfId="1" quotePrefix="1" applyNumberFormat="1" applyFont="1" applyFill="1" applyBorder="1" applyAlignment="1">
      <alignment horizontal="justify" vertical="center" wrapText="1"/>
    </xf>
    <xf numFmtId="164" fontId="7" fillId="0" borderId="7" xfId="1" applyNumberFormat="1" applyFont="1" applyFill="1" applyBorder="1" applyAlignment="1">
      <alignment horizontal="right" vertical="center" wrapText="1"/>
    </xf>
    <xf numFmtId="0" fontId="12" fillId="0" borderId="5" xfId="0" applyFont="1" applyFill="1" applyBorder="1" applyAlignment="1">
      <alignment horizontal="center" vertical="center" wrapText="1"/>
    </xf>
    <xf numFmtId="164" fontId="7" fillId="0" borderId="0" xfId="0" applyNumberFormat="1" applyFont="1" applyFill="1" applyAlignment="1">
      <alignment vertical="center"/>
    </xf>
    <xf numFmtId="164" fontId="27" fillId="0" borderId="5" xfId="1" applyNumberFormat="1" applyFont="1" applyFill="1" applyBorder="1" applyAlignment="1">
      <alignment horizontal="center" vertical="center" wrapText="1"/>
    </xf>
    <xf numFmtId="0" fontId="27" fillId="0" borderId="5" xfId="0" applyFont="1" applyFill="1" applyBorder="1" applyAlignment="1">
      <alignment horizontal="justify" vertical="center" wrapText="1"/>
    </xf>
    <xf numFmtId="164" fontId="27" fillId="0" borderId="5" xfId="1" applyNumberFormat="1" applyFont="1" applyFill="1" applyBorder="1" applyAlignment="1">
      <alignment horizontal="right" vertical="center" wrapText="1"/>
    </xf>
    <xf numFmtId="164" fontId="16" fillId="0" borderId="0" xfId="0" applyNumberFormat="1" applyFont="1" applyFill="1" applyAlignment="1">
      <alignment vertical="center"/>
    </xf>
    <xf numFmtId="0" fontId="16" fillId="0" borderId="0" xfId="0" applyFont="1" applyFill="1" applyAlignment="1">
      <alignment vertical="center"/>
    </xf>
    <xf numFmtId="0" fontId="7" fillId="0" borderId="6" xfId="0" applyFont="1" applyFill="1" applyBorder="1" applyAlignment="1">
      <alignment horizontal="center" vertical="center"/>
    </xf>
    <xf numFmtId="0" fontId="7" fillId="3" borderId="6" xfId="0" quotePrefix="1" applyFont="1" applyFill="1" applyBorder="1" applyAlignment="1">
      <alignment horizontal="justify" vertical="center" wrapText="1"/>
    </xf>
    <xf numFmtId="0" fontId="7" fillId="0" borderId="6" xfId="0" quotePrefix="1" applyFont="1" applyFill="1" applyBorder="1" applyAlignment="1">
      <alignment horizontal="center" vertical="center" wrapText="1"/>
    </xf>
    <xf numFmtId="164" fontId="7" fillId="0" borderId="6" xfId="1" applyNumberFormat="1" applyFont="1" applyFill="1" applyBorder="1" applyAlignment="1">
      <alignment horizontal="right" vertical="center" wrapText="1"/>
    </xf>
    <xf numFmtId="164" fontId="6" fillId="0" borderId="6" xfId="1" applyNumberFormat="1" applyFont="1" applyFill="1" applyBorder="1" applyAlignment="1">
      <alignment horizontal="center" vertical="center" wrapText="1"/>
    </xf>
    <xf numFmtId="0" fontId="7" fillId="0" borderId="6" xfId="0" quotePrefix="1" applyFont="1" applyFill="1" applyBorder="1" applyAlignment="1">
      <alignment horizontal="justify" vertical="center" wrapText="1"/>
    </xf>
    <xf numFmtId="0" fontId="7" fillId="3" borderId="5" xfId="0" quotePrefix="1" applyFont="1" applyFill="1" applyBorder="1" applyAlignment="1">
      <alignment horizontal="center" vertical="center" wrapText="1"/>
    </xf>
    <xf numFmtId="0" fontId="26" fillId="0" borderId="0" xfId="0" applyFont="1" applyAlignment="1">
      <alignment vertical="center"/>
    </xf>
    <xf numFmtId="0" fontId="27" fillId="0" borderId="5" xfId="0" applyFont="1" applyBorder="1" applyAlignment="1">
      <alignment vertical="center"/>
    </xf>
    <xf numFmtId="0" fontId="27" fillId="0" borderId="0" xfId="0" applyFont="1" applyAlignment="1">
      <alignment vertical="center"/>
    </xf>
    <xf numFmtId="0" fontId="0" fillId="0" borderId="5" xfId="0" applyBorder="1" applyAlignment="1">
      <alignment vertical="center"/>
    </xf>
    <xf numFmtId="0" fontId="0" fillId="0" borderId="0" xfId="0" applyAlignment="1">
      <alignment vertical="center"/>
    </xf>
    <xf numFmtId="0" fontId="0" fillId="0" borderId="5" xfId="0" applyBorder="1" applyAlignment="1">
      <alignment vertical="center" wrapText="1"/>
    </xf>
    <xf numFmtId="0" fontId="0" fillId="0" borderId="7" xfId="0" quotePrefix="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xf>
    <xf numFmtId="164" fontId="0" fillId="0" borderId="7" xfId="0" applyNumberFormat="1" applyBorder="1" applyAlignment="1">
      <alignment vertical="center"/>
    </xf>
    <xf numFmtId="0" fontId="0" fillId="0" borderId="0" xfId="0" applyAlignment="1">
      <alignment horizontal="center" vertical="center"/>
    </xf>
    <xf numFmtId="0" fontId="8" fillId="0" borderId="5" xfId="0" quotePrefix="1" applyFont="1" applyFill="1" applyBorder="1" applyAlignment="1">
      <alignment horizontal="justify" vertical="center" wrapText="1"/>
    </xf>
    <xf numFmtId="0" fontId="8" fillId="0" borderId="5" xfId="0" quotePrefix="1" applyFont="1" applyFill="1" applyBorder="1" applyAlignment="1">
      <alignment horizontal="center" vertical="center" wrapText="1"/>
    </xf>
    <xf numFmtId="3" fontId="8" fillId="0" borderId="5" xfId="0" applyNumberFormat="1" applyFont="1" applyFill="1" applyBorder="1" applyAlignment="1">
      <alignment vertical="center"/>
    </xf>
    <xf numFmtId="3" fontId="18" fillId="0" borderId="0" xfId="0" applyNumberFormat="1" applyFont="1" applyFill="1" applyAlignment="1">
      <alignment vertical="center"/>
    </xf>
    <xf numFmtId="3" fontId="13" fillId="0" borderId="0" xfId="0" applyNumberFormat="1" applyFont="1" applyFill="1" applyAlignment="1">
      <alignment vertical="center"/>
    </xf>
    <xf numFmtId="3" fontId="3" fillId="0" borderId="0" xfId="0" applyNumberFormat="1" applyFont="1" applyFill="1" applyAlignment="1">
      <alignment vertical="center"/>
    </xf>
    <xf numFmtId="3" fontId="7" fillId="0" borderId="0" xfId="0" applyNumberFormat="1" applyFont="1" applyFill="1" applyAlignment="1">
      <alignment vertical="center"/>
    </xf>
    <xf numFmtId="3" fontId="8" fillId="0" borderId="0" xfId="0" applyNumberFormat="1" applyFont="1" applyFill="1" applyAlignment="1">
      <alignment vertical="center"/>
    </xf>
    <xf numFmtId="3" fontId="11" fillId="0" borderId="0" xfId="0" applyNumberFormat="1" applyFont="1" applyFill="1" applyAlignment="1">
      <alignment vertical="center"/>
    </xf>
    <xf numFmtId="3" fontId="12" fillId="0" borderId="0" xfId="0" applyNumberFormat="1" applyFont="1" applyFill="1" applyAlignment="1">
      <alignment vertical="center"/>
    </xf>
    <xf numFmtId="3" fontId="13" fillId="0" borderId="0" xfId="0" applyNumberFormat="1" applyFont="1" applyBorder="1" applyAlignment="1">
      <alignment horizontal="left" vertical="center" wrapText="1"/>
    </xf>
    <xf numFmtId="0" fontId="6" fillId="0" borderId="0" xfId="0" applyFont="1" applyFill="1" applyAlignment="1">
      <alignment vertical="center"/>
    </xf>
    <xf numFmtId="3" fontId="7" fillId="4" borderId="5" xfId="0" applyNumberFormat="1" applyFont="1" applyFill="1" applyBorder="1" applyAlignment="1">
      <alignment vertical="center"/>
    </xf>
    <xf numFmtId="3" fontId="8" fillId="4" borderId="5" xfId="0" applyNumberFormat="1" applyFont="1" applyFill="1" applyBorder="1" applyAlignment="1">
      <alignment vertical="center"/>
    </xf>
    <xf numFmtId="164" fontId="7" fillId="4" borderId="5" xfId="1" quotePrefix="1" applyNumberFormat="1" applyFont="1" applyFill="1" applyBorder="1" applyAlignment="1">
      <alignment horizontal="justify" vertical="center" wrapText="1"/>
    </xf>
    <xf numFmtId="0" fontId="15" fillId="0" borderId="0" xfId="0" quotePrefix="1" applyFont="1" applyFill="1" applyAlignment="1">
      <alignment horizontal="right" vertical="center"/>
    </xf>
    <xf numFmtId="0" fontId="8" fillId="0" borderId="0" xfId="0" quotePrefix="1" applyFont="1" applyFill="1" applyAlignment="1">
      <alignment horizontal="right" vertical="center"/>
    </xf>
    <xf numFmtId="0" fontId="15" fillId="0" borderId="0" xfId="0" quotePrefix="1" applyFont="1" applyFill="1" applyAlignment="1">
      <alignment vertical="center"/>
    </xf>
    <xf numFmtId="0" fontId="13" fillId="0" borderId="0" xfId="0" applyFont="1" applyBorder="1" applyAlignment="1">
      <alignment vertical="center" wrapText="1"/>
    </xf>
    <xf numFmtId="0" fontId="13" fillId="0" borderId="9" xfId="0" quotePrefix="1" applyFont="1" applyBorder="1" applyAlignment="1">
      <alignment vertical="center" wrapText="1"/>
    </xf>
    <xf numFmtId="0" fontId="7" fillId="0" borderId="0" xfId="0" quotePrefix="1" applyFont="1" applyFill="1" applyAlignment="1">
      <alignment vertical="center"/>
    </xf>
    <xf numFmtId="164" fontId="8" fillId="0" borderId="0" xfId="0" applyNumberFormat="1" applyFont="1" applyFill="1" applyAlignment="1">
      <alignment vertical="center"/>
    </xf>
    <xf numFmtId="164" fontId="26" fillId="0" borderId="0" xfId="0" applyNumberFormat="1" applyFont="1" applyAlignment="1">
      <alignment vertical="center"/>
    </xf>
    <xf numFmtId="164" fontId="0" fillId="0" borderId="0" xfId="0" applyNumberFormat="1" applyAlignment="1">
      <alignment vertical="center"/>
    </xf>
    <xf numFmtId="164" fontId="0" fillId="0" borderId="5" xfId="0" applyNumberFormat="1" applyFill="1" applyBorder="1" applyAlignment="1">
      <alignment vertical="center"/>
    </xf>
    <xf numFmtId="0" fontId="27" fillId="0" borderId="5" xfId="0" applyFont="1" applyFill="1" applyBorder="1" applyAlignment="1">
      <alignment vertical="center"/>
    </xf>
    <xf numFmtId="0" fontId="27" fillId="0" borderId="5" xfId="0" quotePrefix="1" applyFont="1" applyFill="1" applyBorder="1" applyAlignment="1">
      <alignment horizontal="center" vertical="center"/>
    </xf>
    <xf numFmtId="164" fontId="27" fillId="0" borderId="5" xfId="0" applyNumberFormat="1" applyFont="1" applyFill="1" applyBorder="1" applyAlignment="1">
      <alignment vertical="center"/>
    </xf>
    <xf numFmtId="0" fontId="0" fillId="0" borderId="5" xfId="0" applyFill="1" applyBorder="1" applyAlignment="1">
      <alignment vertical="center"/>
    </xf>
    <xf numFmtId="0" fontId="0" fillId="0" borderId="5" xfId="0" applyFill="1" applyBorder="1" applyAlignment="1">
      <alignment horizontal="center" vertical="center"/>
    </xf>
    <xf numFmtId="0" fontId="0" fillId="0" borderId="5" xfId="0" applyFill="1" applyBorder="1" applyAlignment="1">
      <alignment vertical="center" wrapText="1"/>
    </xf>
    <xf numFmtId="0" fontId="0" fillId="0" borderId="5" xfId="0" quotePrefix="1" applyFill="1" applyBorder="1" applyAlignment="1">
      <alignment horizontal="center" vertical="center"/>
    </xf>
    <xf numFmtId="165" fontId="0" fillId="0" borderId="5" xfId="0" applyNumberFormat="1" applyFill="1" applyBorder="1" applyAlignment="1">
      <alignment vertical="center"/>
    </xf>
    <xf numFmtId="164" fontId="11" fillId="0" borderId="0" xfId="0" applyNumberFormat="1" applyFont="1" applyFill="1" applyAlignment="1">
      <alignment vertical="center"/>
    </xf>
    <xf numFmtId="3" fontId="0" fillId="0" borderId="0" xfId="0" applyNumberFormat="1" applyAlignment="1">
      <alignment vertical="center"/>
    </xf>
    <xf numFmtId="0" fontId="26" fillId="0" borderId="1" xfId="0" applyFont="1" applyBorder="1" applyAlignment="1">
      <alignment vertical="center"/>
    </xf>
    <xf numFmtId="3" fontId="26" fillId="0" borderId="1" xfId="0" applyNumberFormat="1" applyFont="1" applyBorder="1" applyAlignment="1">
      <alignment vertical="center"/>
    </xf>
    <xf numFmtId="0" fontId="0" fillId="0" borderId="0" xfId="0" applyAlignment="1">
      <alignment vertical="center" wrapText="1"/>
    </xf>
    <xf numFmtId="0" fontId="6" fillId="0" borderId="1" xfId="0" applyFont="1" applyFill="1" applyBorder="1" applyAlignment="1">
      <alignment horizontal="center" vertical="center" wrapText="1"/>
    </xf>
    <xf numFmtId="0" fontId="11" fillId="0" borderId="0" xfId="0" quotePrefix="1" applyFont="1" applyFill="1" applyAlignment="1">
      <alignment horizontal="justify" vertical="center"/>
    </xf>
    <xf numFmtId="0" fontId="2" fillId="0" borderId="0" xfId="0" applyFont="1" applyFill="1" applyAlignment="1">
      <alignment horizontal="center" vertical="center"/>
    </xf>
    <xf numFmtId="0" fontId="4" fillId="0" borderId="0" xfId="0" quotePrefix="1" applyFont="1" applyFill="1" applyBorder="1" applyAlignment="1">
      <alignment horizontal="center" vertical="center"/>
    </xf>
    <xf numFmtId="0" fontId="4" fillId="0" borderId="0" xfId="0" applyFont="1" applyFill="1" applyBorder="1" applyAlignment="1">
      <alignment horizontal="center" vertical="center"/>
    </xf>
    <xf numFmtId="0" fontId="5" fillId="0" borderId="0" xfId="0" applyFont="1" applyFill="1" applyBorder="1" applyAlignment="1">
      <alignment horizontal="right" vertical="center"/>
    </xf>
    <xf numFmtId="3" fontId="15" fillId="0" borderId="0" xfId="0" applyNumberFormat="1" applyFont="1" applyFill="1" applyBorder="1" applyAlignment="1">
      <alignment horizontal="left" vertical="center"/>
    </xf>
    <xf numFmtId="0" fontId="31" fillId="0" borderId="0" xfId="0" applyFont="1" applyAlignment="1">
      <alignment vertical="center"/>
    </xf>
    <xf numFmtId="0" fontId="32" fillId="0" borderId="0" xfId="0" applyFont="1" applyAlignment="1">
      <alignment vertical="center"/>
    </xf>
    <xf numFmtId="0" fontId="32" fillId="0" borderId="0" xfId="0" applyFont="1" applyAlignment="1">
      <alignment horizontal="right" vertical="center"/>
    </xf>
    <xf numFmtId="0" fontId="15" fillId="0" borderId="0" xfId="0" applyFont="1" applyAlignment="1">
      <alignment vertical="center"/>
    </xf>
    <xf numFmtId="0" fontId="7" fillId="0" borderId="0" xfId="0" applyFont="1" applyAlignment="1">
      <alignment vertical="center"/>
    </xf>
    <xf numFmtId="0" fontId="6" fillId="0" borderId="8" xfId="0" applyFont="1" applyBorder="1" applyAlignment="1">
      <alignment horizontal="center" vertical="center" wrapText="1"/>
    </xf>
    <xf numFmtId="0" fontId="34" fillId="0" borderId="1" xfId="0" applyFont="1" applyBorder="1" applyAlignment="1">
      <alignment horizontal="center" vertical="center"/>
    </xf>
    <xf numFmtId="0" fontId="34" fillId="0" borderId="0" xfId="0" applyFont="1" applyAlignment="1">
      <alignment horizontal="center" vertical="center"/>
    </xf>
    <xf numFmtId="0" fontId="3" fillId="0" borderId="0" xfId="0" applyFont="1" applyAlignment="1">
      <alignment vertical="center"/>
    </xf>
    <xf numFmtId="0" fontId="7" fillId="0" borderId="5" xfId="0" applyFont="1" applyBorder="1" applyAlignment="1">
      <alignment horizontal="justify" vertical="center" wrapText="1"/>
    </xf>
    <xf numFmtId="0" fontId="7" fillId="0" borderId="5" xfId="0" applyFont="1" applyFill="1" applyBorder="1" applyAlignment="1">
      <alignment horizontal="center" vertical="center" wrapText="1"/>
    </xf>
    <xf numFmtId="0" fontId="7" fillId="0" borderId="0" xfId="0" applyFont="1"/>
    <xf numFmtId="0" fontId="31" fillId="0" borderId="0" xfId="0" applyFont="1" applyFill="1" applyAlignment="1">
      <alignment vertical="center"/>
    </xf>
    <xf numFmtId="0" fontId="3" fillId="0" borderId="1" xfId="0" applyFont="1" applyBorder="1" applyAlignment="1">
      <alignment vertical="center"/>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3" fontId="10" fillId="0" borderId="1" xfId="0" applyNumberFormat="1" applyFont="1" applyBorder="1" applyAlignment="1">
      <alignment horizontal="right" vertical="center" wrapText="1"/>
    </xf>
    <xf numFmtId="3" fontId="10" fillId="0" borderId="1" xfId="0" applyNumberFormat="1" applyFont="1" applyBorder="1" applyAlignment="1">
      <alignment horizontal="center" vertical="center" wrapText="1"/>
    </xf>
    <xf numFmtId="0" fontId="30" fillId="0" borderId="0" xfId="0" applyFont="1" applyAlignment="1">
      <alignment horizontal="right" vertical="center"/>
    </xf>
    <xf numFmtId="0" fontId="35" fillId="0" borderId="0" xfId="0" applyFont="1" applyAlignment="1">
      <alignment horizontal="right" vertical="center"/>
    </xf>
    <xf numFmtId="0" fontId="30" fillId="0" borderId="0" xfId="0" applyFont="1" applyAlignment="1">
      <alignment vertical="center"/>
    </xf>
    <xf numFmtId="0" fontId="36" fillId="0" borderId="1" xfId="0" applyFont="1" applyBorder="1" applyAlignment="1">
      <alignment horizontal="center" vertical="center"/>
    </xf>
    <xf numFmtId="3" fontId="36" fillId="0" borderId="1" xfId="0" applyNumberFormat="1" applyFont="1" applyBorder="1" applyAlignment="1">
      <alignment horizontal="center" vertical="center"/>
    </xf>
    <xf numFmtId="0" fontId="36" fillId="0" borderId="0" xfId="0" applyFont="1" applyAlignment="1">
      <alignment horizontal="center" vertical="center"/>
    </xf>
    <xf numFmtId="0" fontId="37" fillId="0" borderId="0" xfId="0" applyFont="1" applyAlignment="1">
      <alignment vertical="center"/>
    </xf>
    <xf numFmtId="3" fontId="38" fillId="0" borderId="5" xfId="0" applyNumberFormat="1" applyFont="1" applyBorder="1" applyAlignment="1">
      <alignment horizontal="center" vertical="center" wrapText="1"/>
    </xf>
    <xf numFmtId="3" fontId="0" fillId="0" borderId="5" xfId="0" applyNumberFormat="1" applyFill="1" applyBorder="1" applyAlignment="1">
      <alignment vertical="center"/>
    </xf>
    <xf numFmtId="0" fontId="38" fillId="0" borderId="5" xfId="0" applyFont="1" applyBorder="1" applyAlignment="1">
      <alignment horizontal="center" vertical="center" wrapText="1"/>
    </xf>
    <xf numFmtId="0" fontId="37" fillId="0" borderId="5" xfId="0" applyFont="1" applyBorder="1" applyAlignment="1">
      <alignment vertical="center"/>
    </xf>
    <xf numFmtId="0" fontId="26" fillId="0" borderId="1" xfId="0" applyFont="1" applyBorder="1" applyAlignment="1">
      <alignment horizontal="center" vertical="center"/>
    </xf>
    <xf numFmtId="0" fontId="0" fillId="0" borderId="5" xfId="0" applyBorder="1" applyAlignment="1">
      <alignment horizontal="center" vertical="center" wrapText="1"/>
    </xf>
    <xf numFmtId="0" fontId="37" fillId="0" borderId="5" xfId="0" applyFont="1" applyBorder="1" applyAlignment="1">
      <alignment vertical="center" wrapText="1"/>
    </xf>
    <xf numFmtId="3" fontId="37" fillId="0" borderId="5" xfId="0" applyNumberFormat="1" applyFont="1" applyFill="1" applyBorder="1" applyAlignment="1">
      <alignment vertical="center"/>
    </xf>
    <xf numFmtId="3" fontId="30" fillId="0" borderId="1" xfId="0" applyNumberFormat="1" applyFont="1" applyBorder="1" applyAlignment="1">
      <alignment horizontal="center" vertical="center" wrapText="1"/>
    </xf>
    <xf numFmtId="0" fontId="5" fillId="0" borderId="11" xfId="0" applyFont="1" applyFill="1" applyBorder="1" applyAlignment="1">
      <alignment vertical="center"/>
    </xf>
    <xf numFmtId="0" fontId="5" fillId="0" borderId="11" xfId="0" applyFont="1" applyFill="1" applyBorder="1" applyAlignment="1">
      <alignment horizontal="right" vertical="center"/>
    </xf>
    <xf numFmtId="164" fontId="12" fillId="0" borderId="0" xfId="1" applyNumberFormat="1" applyFont="1" applyFill="1" applyBorder="1" applyAlignment="1">
      <alignment horizontal="right" vertical="center" wrapText="1"/>
    </xf>
    <xf numFmtId="164" fontId="7" fillId="0" borderId="0" xfId="1" applyNumberFormat="1" applyFont="1" applyFill="1" applyBorder="1" applyAlignment="1">
      <alignment horizontal="right" vertical="center" wrapText="1"/>
    </xf>
    <xf numFmtId="164" fontId="8" fillId="0" borderId="0" xfId="1" applyNumberFormat="1" applyFont="1" applyFill="1" applyBorder="1" applyAlignment="1">
      <alignment horizontal="right" vertical="center" wrapText="1"/>
    </xf>
    <xf numFmtId="164" fontId="7" fillId="0" borderId="0" xfId="1" quotePrefix="1" applyNumberFormat="1" applyFont="1" applyFill="1" applyBorder="1" applyAlignment="1">
      <alignment horizontal="right" vertical="center" wrapText="1"/>
    </xf>
    <xf numFmtId="164" fontId="7" fillId="0" borderId="9" xfId="1" applyNumberFormat="1" applyFont="1" applyFill="1" applyBorder="1" applyAlignment="1">
      <alignment horizontal="right" vertical="center" wrapText="1"/>
    </xf>
    <xf numFmtId="0" fontId="5" fillId="0" borderId="9" xfId="0" applyFont="1" applyFill="1" applyBorder="1" applyAlignment="1">
      <alignment horizontal="center" vertical="center"/>
    </xf>
    <xf numFmtId="0" fontId="5" fillId="0" borderId="0" xfId="0" applyFont="1" applyFill="1" applyBorder="1" applyAlignment="1">
      <alignment horizontal="center" vertical="center"/>
    </xf>
    <xf numFmtId="0" fontId="6" fillId="0" borderId="11" xfId="0" applyFont="1" applyFill="1" applyBorder="1" applyAlignment="1">
      <alignment horizontal="center" vertical="center" wrapText="1"/>
    </xf>
    <xf numFmtId="0" fontId="9" fillId="0" borderId="0" xfId="0" applyFont="1" applyFill="1" applyBorder="1" applyAlignment="1">
      <alignment horizontal="center" vertical="center" wrapText="1"/>
    </xf>
    <xf numFmtId="164" fontId="37" fillId="0" borderId="0" xfId="0" applyNumberFormat="1" applyFont="1" applyAlignment="1">
      <alignment vertical="center"/>
    </xf>
    <xf numFmtId="164" fontId="37" fillId="0" borderId="0" xfId="0" quotePrefix="1" applyNumberFormat="1" applyFont="1" applyAlignment="1">
      <alignment vertical="center"/>
    </xf>
    <xf numFmtId="0" fontId="17" fillId="0" borderId="0" xfId="0" applyFont="1"/>
    <xf numFmtId="0" fontId="37" fillId="0" borderId="5" xfId="0" applyFont="1" applyBorder="1" applyAlignment="1">
      <alignment horizontal="center" vertical="center" wrapText="1"/>
    </xf>
    <xf numFmtId="3" fontId="34" fillId="0" borderId="5" xfId="0" applyNumberFormat="1" applyFont="1" applyFill="1" applyBorder="1" applyAlignment="1">
      <alignment horizontal="center" vertical="center" wrapText="1"/>
    </xf>
    <xf numFmtId="3" fontId="34" fillId="0" borderId="6" xfId="0" applyNumberFormat="1" applyFont="1" applyFill="1" applyBorder="1" applyAlignment="1">
      <alignment horizontal="center" vertical="center" wrapText="1"/>
    </xf>
    <xf numFmtId="0" fontId="7" fillId="0" borderId="5" xfId="0" applyFont="1" applyFill="1" applyBorder="1" applyAlignment="1">
      <alignment vertical="center"/>
    </xf>
    <xf numFmtId="0" fontId="7" fillId="0" borderId="5" xfId="0" applyFont="1" applyFill="1" applyBorder="1" applyAlignment="1">
      <alignment horizontal="left" vertical="center" wrapText="1"/>
    </xf>
    <xf numFmtId="3" fontId="7" fillId="5" borderId="5" xfId="0" applyNumberFormat="1" applyFont="1" applyFill="1" applyBorder="1" applyAlignment="1">
      <alignment horizontal="right" vertical="center" wrapText="1"/>
    </xf>
    <xf numFmtId="0" fontId="7" fillId="0" borderId="5" xfId="0" applyFont="1" applyBorder="1" applyAlignment="1">
      <alignment vertical="center" wrapText="1"/>
    </xf>
    <xf numFmtId="0" fontId="7" fillId="0" borderId="5" xfId="0" applyFont="1" applyBorder="1" applyAlignment="1">
      <alignment horizontal="center" vertical="center" wrapText="1"/>
    </xf>
    <xf numFmtId="0" fontId="7" fillId="0" borderId="5" xfId="0" applyFont="1" applyBorder="1" applyAlignment="1">
      <alignment horizontal="left" vertical="center" wrapText="1"/>
    </xf>
    <xf numFmtId="3" fontId="7" fillId="0" borderId="5" xfId="0" applyNumberFormat="1" applyFont="1" applyBorder="1" applyAlignment="1">
      <alignment horizontal="right" vertical="center" wrapText="1"/>
    </xf>
    <xf numFmtId="0" fontId="7" fillId="0" borderId="6" xfId="0" applyFont="1" applyBorder="1" applyAlignment="1">
      <alignment vertical="center" wrapText="1"/>
    </xf>
    <xf numFmtId="0" fontId="7" fillId="0" borderId="6" xfId="0" applyFont="1" applyBorder="1" applyAlignment="1">
      <alignment horizontal="center" vertical="center" wrapText="1"/>
    </xf>
    <xf numFmtId="3" fontId="7" fillId="0" borderId="6" xfId="0" applyNumberFormat="1" applyFont="1" applyFill="1" applyBorder="1" applyAlignment="1">
      <alignment horizontal="right" vertical="center" wrapText="1"/>
    </xf>
    <xf numFmtId="0" fontId="8" fillId="0" borderId="11" xfId="0" applyFont="1" applyBorder="1" applyAlignment="1">
      <alignment horizontal="right" vertical="center"/>
    </xf>
    <xf numFmtId="0" fontId="42" fillId="0" borderId="0" xfId="0" applyFont="1" applyAlignment="1">
      <alignment vertical="center"/>
    </xf>
    <xf numFmtId="0" fontId="17" fillId="0" borderId="0" xfId="0" applyFont="1" applyAlignment="1">
      <alignment vertical="center"/>
    </xf>
    <xf numFmtId="0" fontId="43" fillId="0" borderId="9" xfId="0" applyFont="1" applyBorder="1" applyAlignment="1">
      <alignment horizontal="center" vertical="center" wrapText="1"/>
    </xf>
    <xf numFmtId="0" fontId="43" fillId="0" borderId="0" xfId="0" applyFont="1" applyBorder="1" applyAlignment="1">
      <alignment horizontal="center" vertical="center" wrapText="1"/>
    </xf>
    <xf numFmtId="3" fontId="44" fillId="0" borderId="0" xfId="0" applyNumberFormat="1" applyFont="1" applyAlignment="1">
      <alignment horizontal="center" vertical="center"/>
    </xf>
    <xf numFmtId="0" fontId="41" fillId="0" borderId="0" xfId="0" applyFont="1" applyFill="1" applyAlignment="1">
      <alignment horizontal="center" vertical="center" wrapText="1"/>
    </xf>
    <xf numFmtId="3" fontId="17" fillId="0" borderId="0" xfId="0" applyNumberFormat="1" applyFont="1"/>
    <xf numFmtId="0" fontId="42" fillId="0" borderId="0" xfId="0" applyFont="1" applyBorder="1" applyAlignment="1">
      <alignment vertical="center" wrapText="1"/>
    </xf>
    <xf numFmtId="0" fontId="42" fillId="0" borderId="0" xfId="0" applyFont="1" applyFill="1" applyAlignment="1">
      <alignment vertical="center"/>
    </xf>
    <xf numFmtId="3" fontId="29" fillId="0" borderId="0" xfId="0" applyNumberFormat="1" applyFont="1" applyAlignment="1">
      <alignment horizontal="center" vertical="center"/>
    </xf>
    <xf numFmtId="43" fontId="17" fillId="0" borderId="0" xfId="1" applyFont="1" applyAlignment="1">
      <alignment vertical="center"/>
    </xf>
    <xf numFmtId="3" fontId="42" fillId="0" borderId="0" xfId="0" applyNumberFormat="1" applyFont="1" applyBorder="1" applyAlignment="1">
      <alignment vertical="center" wrapText="1"/>
    </xf>
    <xf numFmtId="3" fontId="41" fillId="0" borderId="0" xfId="0" applyNumberFormat="1" applyFont="1" applyFill="1" applyAlignment="1">
      <alignment horizontal="center" vertical="center" wrapText="1"/>
    </xf>
    <xf numFmtId="0" fontId="6" fillId="0" borderId="0" xfId="0" applyFont="1" applyAlignment="1">
      <alignment vertical="center"/>
    </xf>
    <xf numFmtId="0" fontId="30" fillId="0" borderId="1" xfId="0" applyFont="1" applyBorder="1" applyAlignment="1">
      <alignment horizontal="center" vertical="center" wrapText="1"/>
    </xf>
    <xf numFmtId="0" fontId="30" fillId="0" borderId="0" xfId="0" applyFont="1" applyAlignment="1">
      <alignment horizontal="center" vertical="center" wrapText="1"/>
    </xf>
    <xf numFmtId="0" fontId="26" fillId="0" borderId="1" xfId="0" applyFont="1" applyBorder="1" applyAlignment="1">
      <alignment horizontal="center" vertical="center" wrapText="1"/>
    </xf>
    <xf numFmtId="4" fontId="26" fillId="0" borderId="1" xfId="0" applyNumberFormat="1" applyFont="1" applyBorder="1" applyAlignment="1">
      <alignment vertical="center"/>
    </xf>
    <xf numFmtId="3" fontId="26" fillId="0" borderId="0" xfId="0" applyNumberFormat="1" applyFont="1" applyAlignment="1">
      <alignment vertical="center"/>
    </xf>
    <xf numFmtId="0" fontId="27" fillId="0" borderId="15" xfId="0" applyFont="1" applyBorder="1" applyAlignment="1">
      <alignment vertical="center"/>
    </xf>
    <xf numFmtId="0" fontId="27" fillId="0" borderId="15" xfId="0" applyFont="1" applyBorder="1" applyAlignment="1">
      <alignment vertical="center" wrapText="1"/>
    </xf>
    <xf numFmtId="3" fontId="27" fillId="0" borderId="15" xfId="0" applyNumberFormat="1" applyFont="1" applyBorder="1" applyAlignment="1">
      <alignment vertical="center"/>
    </xf>
    <xf numFmtId="3" fontId="27" fillId="0" borderId="0" xfId="0" applyNumberFormat="1" applyFont="1" applyAlignment="1">
      <alignment vertical="center"/>
    </xf>
    <xf numFmtId="0" fontId="45" fillId="0" borderId="5" xfId="0" applyFont="1" applyBorder="1" applyAlignment="1">
      <alignment horizontal="center" vertical="center" wrapText="1"/>
    </xf>
    <xf numFmtId="0" fontId="27" fillId="0" borderId="5" xfId="0" applyFont="1" applyBorder="1" applyAlignment="1">
      <alignment vertical="center" wrapText="1"/>
    </xf>
    <xf numFmtId="0" fontId="27" fillId="0" borderId="5" xfId="0" applyFont="1" applyBorder="1" applyAlignment="1">
      <alignment horizontal="center" vertical="center" wrapText="1"/>
    </xf>
    <xf numFmtId="0" fontId="46" fillId="0" borderId="5" xfId="0" applyFont="1" applyBorder="1" applyAlignment="1">
      <alignment horizontal="center" vertical="center" wrapText="1"/>
    </xf>
    <xf numFmtId="166" fontId="27" fillId="0" borderId="5" xfId="0" applyNumberFormat="1" applyFont="1" applyFill="1" applyBorder="1" applyAlignment="1">
      <alignment vertical="center"/>
    </xf>
    <xf numFmtId="3" fontId="0" fillId="0" borderId="5" xfId="0" applyNumberFormat="1" applyBorder="1" applyAlignment="1">
      <alignment vertical="center"/>
    </xf>
    <xf numFmtId="0" fontId="0" fillId="0" borderId="7" xfId="0" applyBorder="1" applyAlignment="1">
      <alignment vertical="center" wrapText="1"/>
    </xf>
    <xf numFmtId="0" fontId="0" fillId="0" borderId="7" xfId="0" applyBorder="1" applyAlignment="1">
      <alignment horizontal="center" vertical="center" wrapText="1"/>
    </xf>
    <xf numFmtId="0" fontId="45" fillId="0" borderId="7" xfId="0" applyFont="1" applyBorder="1" applyAlignment="1">
      <alignment horizontal="center" vertical="center" wrapText="1"/>
    </xf>
    <xf numFmtId="0" fontId="37" fillId="0" borderId="7" xfId="0" applyFont="1" applyBorder="1" applyAlignment="1">
      <alignment horizontal="center" vertical="center" wrapText="1"/>
    </xf>
    <xf numFmtId="3" fontId="37" fillId="0" borderId="7" xfId="0" applyNumberFormat="1" applyFont="1" applyFill="1" applyBorder="1" applyAlignment="1">
      <alignment vertical="center"/>
    </xf>
    <xf numFmtId="0" fontId="38" fillId="0" borderId="7" xfId="0" applyFont="1" applyBorder="1" applyAlignment="1">
      <alignment horizontal="center" vertical="center" wrapText="1"/>
    </xf>
    <xf numFmtId="3" fontId="7" fillId="4" borderId="5" xfId="0" applyNumberFormat="1" applyFont="1" applyFill="1" applyBorder="1" applyAlignment="1">
      <alignment horizontal="right" vertical="center" wrapText="1"/>
    </xf>
    <xf numFmtId="164" fontId="7" fillId="0" borderId="5" xfId="1" applyNumberFormat="1" applyFont="1" applyFill="1" applyBorder="1" applyAlignment="1">
      <alignment horizontal="center" vertical="center" wrapText="1"/>
    </xf>
    <xf numFmtId="0" fontId="7" fillId="3" borderId="10" xfId="0" quotePrefix="1" applyFont="1" applyFill="1" applyBorder="1" applyAlignment="1">
      <alignment horizontal="left" vertical="center" wrapText="1"/>
    </xf>
    <xf numFmtId="164" fontId="7" fillId="6" borderId="5" xfId="1" applyNumberFormat="1" applyFont="1" applyFill="1" applyBorder="1" applyAlignment="1">
      <alignment horizontal="right" vertical="center" wrapText="1"/>
    </xf>
    <xf numFmtId="164" fontId="7" fillId="0" borderId="10" xfId="1" applyNumberFormat="1" applyFont="1" applyFill="1" applyBorder="1" applyAlignment="1">
      <alignment horizontal="right" vertical="center" wrapText="1"/>
    </xf>
    <xf numFmtId="0" fontId="7" fillId="3" borderId="10" xfId="0" quotePrefix="1" applyFont="1" applyFill="1" applyBorder="1" applyAlignment="1">
      <alignment horizontal="justify" vertical="center" wrapText="1"/>
    </xf>
    <xf numFmtId="164" fontId="6" fillId="0" borderId="2" xfId="0" applyNumberFormat="1" applyFont="1" applyFill="1" applyBorder="1" applyAlignment="1">
      <alignment horizontal="center" vertical="center" wrapText="1"/>
    </xf>
    <xf numFmtId="0" fontId="26" fillId="0" borderId="4" xfId="0" applyFont="1" applyFill="1" applyBorder="1" applyAlignment="1">
      <alignment vertical="center"/>
    </xf>
    <xf numFmtId="0" fontId="26" fillId="0" borderId="4" xfId="0" applyFont="1" applyFill="1" applyBorder="1" applyAlignment="1">
      <alignment horizontal="center" vertical="center"/>
    </xf>
    <xf numFmtId="164" fontId="26" fillId="0" borderId="4" xfId="0" applyNumberFormat="1" applyFont="1" applyFill="1" applyBorder="1" applyAlignment="1">
      <alignment vertical="center"/>
    </xf>
    <xf numFmtId="164" fontId="26" fillId="0" borderId="0" xfId="0" applyNumberFormat="1" applyFont="1" applyFill="1" applyAlignment="1">
      <alignment vertical="center"/>
    </xf>
    <xf numFmtId="0" fontId="26" fillId="0" borderId="0" xfId="0" applyFont="1" applyFill="1" applyAlignment="1">
      <alignment vertical="center"/>
    </xf>
    <xf numFmtId="164" fontId="27" fillId="0" borderId="0" xfId="0" quotePrefix="1" applyNumberFormat="1" applyFont="1" applyFill="1" applyAlignment="1">
      <alignment vertical="center"/>
    </xf>
    <xf numFmtId="164" fontId="27" fillId="0" borderId="0" xfId="0" applyNumberFormat="1" applyFont="1" applyFill="1" applyAlignment="1">
      <alignment vertical="center"/>
    </xf>
    <xf numFmtId="0" fontId="27" fillId="0" borderId="0" xfId="0" applyFont="1" applyFill="1" applyAlignment="1">
      <alignment vertical="center"/>
    </xf>
    <xf numFmtId="164" fontId="0" fillId="0" borderId="0" xfId="0" applyNumberFormat="1" applyFill="1" applyAlignment="1">
      <alignment vertical="center"/>
    </xf>
    <xf numFmtId="0" fontId="0" fillId="0" borderId="0" xfId="0" applyFill="1" applyAlignment="1">
      <alignment vertical="center"/>
    </xf>
    <xf numFmtId="0" fontId="0" fillId="0" borderId="5" xfId="0" quotePrefix="1" applyFill="1" applyBorder="1" applyAlignment="1">
      <alignment vertical="center" wrapText="1"/>
    </xf>
    <xf numFmtId="0" fontId="26" fillId="0" borderId="4" xfId="0" applyFont="1" applyFill="1" applyBorder="1" applyAlignment="1">
      <alignment horizontal="center" vertical="center" wrapText="1"/>
    </xf>
    <xf numFmtId="0" fontId="27" fillId="0" borderId="5" xfId="0" applyFont="1" applyFill="1" applyBorder="1" applyAlignment="1">
      <alignment vertical="center" wrapText="1"/>
    </xf>
    <xf numFmtId="164" fontId="7" fillId="0" borderId="5" xfId="0" applyNumberFormat="1" applyFont="1" applyFill="1" applyBorder="1" applyAlignment="1">
      <alignment vertical="center"/>
    </xf>
    <xf numFmtId="164" fontId="7" fillId="0" borderId="5" xfId="0" applyNumberFormat="1" applyFont="1" applyFill="1" applyBorder="1" applyAlignment="1">
      <alignment horizontal="right" vertical="center" wrapText="1"/>
    </xf>
    <xf numFmtId="164" fontId="7" fillId="0" borderId="5" xfId="0" applyNumberFormat="1" applyFont="1" applyFill="1" applyBorder="1" applyAlignment="1">
      <alignment horizontal="right" vertical="center"/>
    </xf>
    <xf numFmtId="164" fontId="15" fillId="0" borderId="5" xfId="0" applyNumberFormat="1" applyFont="1" applyFill="1" applyBorder="1" applyAlignment="1">
      <alignment horizontal="right" vertical="center" wrapText="1"/>
    </xf>
    <xf numFmtId="164" fontId="7" fillId="0" borderId="7" xfId="0" applyNumberFormat="1" applyFont="1" applyFill="1" applyBorder="1" applyAlignment="1">
      <alignment horizontal="right" vertical="center" wrapText="1"/>
    </xf>
    <xf numFmtId="164" fontId="27" fillId="0" borderId="0" xfId="0" applyNumberFormat="1" applyFont="1" applyFill="1" applyBorder="1" applyAlignment="1">
      <alignment horizontal="center" vertical="center"/>
    </xf>
    <xf numFmtId="0" fontId="27" fillId="0" borderId="0" xfId="0" applyFont="1" applyFill="1" applyAlignment="1">
      <alignment horizontal="center" vertical="center"/>
    </xf>
    <xf numFmtId="0" fontId="9" fillId="0" borderId="0" xfId="0" applyFont="1" applyFill="1" applyBorder="1" applyAlignment="1">
      <alignment vertical="center"/>
    </xf>
    <xf numFmtId="0" fontId="43" fillId="0" borderId="0" xfId="0" applyFont="1" applyFill="1" applyAlignment="1">
      <alignment vertical="center"/>
    </xf>
    <xf numFmtId="0" fontId="29" fillId="0" borderId="0" xfId="0" applyFont="1" applyFill="1" applyBorder="1" applyAlignment="1">
      <alignment vertical="center"/>
    </xf>
    <xf numFmtId="0" fontId="48" fillId="0" borderId="0" xfId="0" applyFont="1" applyFill="1" applyBorder="1" applyAlignment="1">
      <alignment vertical="center"/>
    </xf>
    <xf numFmtId="0" fontId="48" fillId="0" borderId="9" xfId="0" applyFont="1" applyFill="1" applyBorder="1" applyAlignment="1">
      <alignment vertical="center"/>
    </xf>
    <xf numFmtId="0" fontId="26" fillId="0" borderId="2" xfId="0" applyFont="1" applyFill="1" applyBorder="1" applyAlignment="1">
      <alignment vertical="center"/>
    </xf>
    <xf numFmtId="164" fontId="29" fillId="0" borderId="8" xfId="1" applyNumberFormat="1" applyFont="1" applyFill="1" applyBorder="1" applyAlignment="1">
      <alignment vertical="center"/>
    </xf>
    <xf numFmtId="164" fontId="26" fillId="2" borderId="4" xfId="1" applyNumberFormat="1" applyFont="1" applyFill="1" applyBorder="1" applyAlignment="1">
      <alignment vertical="center"/>
    </xf>
    <xf numFmtId="164" fontId="26" fillId="0" borderId="5" xfId="1" applyNumberFormat="1" applyFont="1" applyFill="1" applyBorder="1" applyAlignment="1">
      <alignment vertical="center"/>
    </xf>
    <xf numFmtId="164" fontId="17" fillId="0" borderId="0" xfId="1" applyNumberFormat="1" applyFont="1" applyFill="1" applyBorder="1" applyAlignment="1">
      <alignment vertical="center"/>
    </xf>
    <xf numFmtId="3" fontId="9" fillId="0" borderId="5" xfId="0" applyNumberFormat="1" applyFont="1" applyFill="1" applyBorder="1" applyAlignment="1">
      <alignment vertical="center"/>
    </xf>
    <xf numFmtId="164" fontId="49" fillId="0" borderId="0" xfId="1" applyNumberFormat="1" applyFont="1" applyFill="1" applyBorder="1" applyAlignment="1">
      <alignment vertical="center"/>
    </xf>
    <xf numFmtId="164" fontId="26" fillId="2" borderId="5" xfId="1" applyNumberFormat="1" applyFont="1" applyFill="1" applyBorder="1" applyAlignment="1">
      <alignment vertical="center"/>
    </xf>
    <xf numFmtId="164" fontId="26" fillId="0" borderId="0" xfId="1" applyNumberFormat="1" applyFont="1" applyFill="1" applyBorder="1" applyAlignment="1">
      <alignment vertical="center"/>
    </xf>
    <xf numFmtId="164" fontId="9" fillId="0" borderId="5" xfId="1" applyNumberFormat="1" applyFont="1" applyFill="1" applyBorder="1" applyAlignment="1">
      <alignment vertical="center"/>
    </xf>
    <xf numFmtId="164" fontId="17" fillId="0" borderId="0" xfId="1" quotePrefix="1" applyNumberFormat="1" applyFont="1" applyFill="1" applyBorder="1" applyAlignment="1">
      <alignment vertical="center"/>
    </xf>
    <xf numFmtId="164" fontId="9" fillId="0" borderId="5" xfId="1" quotePrefix="1" applyNumberFormat="1" applyFont="1" applyFill="1" applyBorder="1" applyAlignment="1">
      <alignment vertical="center"/>
    </xf>
    <xf numFmtId="164" fontId="17" fillId="0" borderId="9" xfId="1" applyNumberFormat="1" applyFont="1" applyFill="1" applyBorder="1" applyAlignment="1">
      <alignment vertical="center"/>
    </xf>
    <xf numFmtId="0" fontId="41" fillId="0" borderId="0" xfId="0" quotePrefix="1" applyFont="1" applyFill="1" applyAlignment="1">
      <alignment vertical="center"/>
    </xf>
    <xf numFmtId="164" fontId="0" fillId="0" borderId="7" xfId="0" applyNumberFormat="1" applyFill="1" applyBorder="1" applyAlignment="1">
      <alignment vertical="center"/>
    </xf>
    <xf numFmtId="164" fontId="50" fillId="0" borderId="0" xfId="0" applyNumberFormat="1" applyFont="1" applyFill="1" applyAlignment="1">
      <alignment vertical="center"/>
    </xf>
    <xf numFmtId="0" fontId="0" fillId="0" borderId="7" xfId="0" applyFill="1" applyBorder="1" applyAlignment="1">
      <alignment vertical="center" wrapText="1"/>
    </xf>
    <xf numFmtId="0" fontId="7" fillId="0" borderId="0" xfId="0" applyNumberFormat="1" applyFont="1" applyFill="1" applyAlignment="1">
      <alignment horizontal="center" vertical="center" wrapText="1"/>
    </xf>
    <xf numFmtId="0" fontId="8" fillId="0" borderId="0" xfId="0" quotePrefix="1" applyFont="1" applyFill="1" applyAlignment="1">
      <alignment vertical="center"/>
    </xf>
    <xf numFmtId="164" fontId="12" fillId="7" borderId="5" xfId="1" applyNumberFormat="1" applyFont="1" applyFill="1" applyBorder="1" applyAlignment="1">
      <alignment horizontal="justify" vertical="center" wrapText="1"/>
    </xf>
    <xf numFmtId="3" fontId="0" fillId="0" borderId="0" xfId="0" applyNumberFormat="1"/>
    <xf numFmtId="164" fontId="20" fillId="7" borderId="5" xfId="1" quotePrefix="1" applyNumberFormat="1" applyFont="1" applyFill="1" applyBorder="1" applyAlignment="1">
      <alignment horizontal="right" vertical="center" wrapText="1"/>
    </xf>
    <xf numFmtId="164" fontId="12" fillId="7" borderId="5" xfId="1" applyNumberFormat="1" applyFont="1" applyFill="1" applyBorder="1" applyAlignment="1">
      <alignment horizontal="right" vertical="center" wrapText="1"/>
    </xf>
    <xf numFmtId="164" fontId="12" fillId="7" borderId="0" xfId="0" applyNumberFormat="1" applyFont="1" applyFill="1" applyAlignment="1">
      <alignment vertical="center"/>
    </xf>
    <xf numFmtId="164" fontId="7" fillId="0" borderId="5" xfId="1" quotePrefix="1" applyNumberFormat="1" applyFont="1" applyFill="1" applyBorder="1" applyAlignment="1">
      <alignment horizontal="center" vertical="center" wrapText="1"/>
    </xf>
    <xf numFmtId="164" fontId="20" fillId="7" borderId="5" xfId="1" applyNumberFormat="1" applyFont="1" applyFill="1" applyBorder="1" applyAlignment="1">
      <alignment horizontal="right" vertical="center" wrapText="1"/>
    </xf>
    <xf numFmtId="0" fontId="6" fillId="0" borderId="8" xfId="0" applyFont="1" applyBorder="1" applyAlignment="1">
      <alignment horizontal="center" vertical="center" wrapText="1"/>
    </xf>
    <xf numFmtId="0" fontId="37" fillId="0" borderId="7" xfId="0" applyFont="1" applyBorder="1" applyAlignment="1">
      <alignment vertical="center" wrapText="1"/>
    </xf>
    <xf numFmtId="0" fontId="7" fillId="0" borderId="15" xfId="0" applyFont="1" applyFill="1" applyBorder="1" applyAlignment="1">
      <alignment horizontal="left" vertical="center" wrapText="1"/>
    </xf>
    <xf numFmtId="0" fontId="7" fillId="0" borderId="15" xfId="0" applyFont="1" applyFill="1" applyBorder="1" applyAlignment="1">
      <alignment horizontal="center" vertical="center" wrapText="1"/>
    </xf>
    <xf numFmtId="3" fontId="7" fillId="0" borderId="15" xfId="0" applyNumberFormat="1" applyFont="1" applyFill="1" applyBorder="1" applyAlignment="1">
      <alignment horizontal="right" vertical="center" wrapText="1"/>
    </xf>
    <xf numFmtId="3" fontId="34" fillId="0" borderId="15" xfId="0" applyNumberFormat="1" applyFont="1" applyFill="1"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30" fillId="0" borderId="0" xfId="0" applyFont="1" applyAlignment="1">
      <alignment horizontal="center" vertical="center"/>
    </xf>
    <xf numFmtId="0" fontId="35" fillId="0" borderId="0" xfId="0" applyFont="1" applyAlignment="1">
      <alignment horizontal="center" vertical="center" wrapText="1"/>
    </xf>
    <xf numFmtId="0" fontId="30" fillId="0" borderId="8" xfId="0" applyFont="1" applyBorder="1" applyAlignment="1">
      <alignment horizontal="center" vertical="center"/>
    </xf>
    <xf numFmtId="0" fontId="30" fillId="0" borderId="3" xfId="0" applyFont="1" applyBorder="1" applyAlignment="1">
      <alignment horizontal="center" vertical="center"/>
    </xf>
    <xf numFmtId="3" fontId="30" fillId="0" borderId="8" xfId="0" applyNumberFormat="1" applyFont="1" applyBorder="1" applyAlignment="1">
      <alignment horizontal="center" vertical="center"/>
    </xf>
    <xf numFmtId="3" fontId="30" fillId="0" borderId="3" xfId="0" applyNumberFormat="1" applyFont="1" applyBorder="1" applyAlignment="1">
      <alignment horizontal="center" vertical="center"/>
    </xf>
    <xf numFmtId="3" fontId="39" fillId="0" borderId="12" xfId="0" applyNumberFormat="1" applyFont="1" applyBorder="1" applyAlignment="1">
      <alignment horizontal="center" vertical="center"/>
    </xf>
    <xf numFmtId="3" fontId="39" fillId="0" borderId="13" xfId="0" applyNumberFormat="1" applyFont="1" applyBorder="1" applyAlignment="1">
      <alignment horizontal="center" vertical="center"/>
    </xf>
    <xf numFmtId="3" fontId="39" fillId="0" borderId="14" xfId="0" applyNumberFormat="1" applyFont="1" applyBorder="1" applyAlignment="1">
      <alignment horizontal="center" vertical="center"/>
    </xf>
    <xf numFmtId="0" fontId="30" fillId="0" borderId="8" xfId="0" applyFont="1" applyBorder="1" applyAlignment="1">
      <alignment horizontal="center" vertical="center" wrapText="1"/>
    </xf>
    <xf numFmtId="0" fontId="30" fillId="0" borderId="3" xfId="0" applyFont="1" applyBorder="1" applyAlignment="1">
      <alignment horizontal="center" vertical="center" wrapText="1"/>
    </xf>
    <xf numFmtId="0" fontId="2" fillId="0" borderId="0" xfId="0" applyFont="1" applyAlignment="1">
      <alignment horizontal="center" vertical="center"/>
    </xf>
    <xf numFmtId="0" fontId="33" fillId="0" borderId="0" xfId="0" applyFont="1" applyAlignment="1">
      <alignment horizontal="center" vertical="center"/>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4" xfId="0" applyFont="1" applyFill="1" applyBorder="1" applyAlignment="1">
      <alignment horizontal="center" vertical="center" wrapText="1"/>
    </xf>
    <xf numFmtId="0" fontId="6" fillId="0" borderId="1" xfId="0" applyFont="1" applyFill="1" applyBorder="1" applyAlignment="1">
      <alignment horizontal="center" vertical="center" wrapText="1"/>
    </xf>
    <xf numFmtId="3" fontId="15" fillId="0" borderId="0" xfId="0" applyNumberFormat="1" applyFont="1" applyFill="1" applyBorder="1" applyAlignment="1">
      <alignment horizontal="left" vertical="center"/>
    </xf>
    <xf numFmtId="0" fontId="7" fillId="0" borderId="6" xfId="0" quotePrefix="1" applyFont="1" applyFill="1" applyBorder="1" applyAlignment="1">
      <alignment vertical="center" wrapText="1"/>
    </xf>
    <xf numFmtId="0" fontId="7" fillId="0" borderId="15" xfId="0" quotePrefix="1" applyFont="1" applyFill="1" applyBorder="1" applyAlignment="1">
      <alignment vertical="center" wrapText="1"/>
    </xf>
    <xf numFmtId="0" fontId="7" fillId="0" borderId="10" xfId="0" quotePrefix="1" applyFont="1" applyFill="1" applyBorder="1" applyAlignment="1">
      <alignment vertical="center" wrapText="1"/>
    </xf>
    <xf numFmtId="0" fontId="11" fillId="0" borderId="0" xfId="0" quotePrefix="1" applyFont="1" applyFill="1" applyAlignment="1">
      <alignment horizontal="justify" vertical="center" wrapText="1"/>
    </xf>
    <xf numFmtId="0" fontId="11" fillId="0" borderId="0" xfId="0" quotePrefix="1" applyFont="1" applyFill="1" applyAlignment="1">
      <alignment horizontal="justify" vertical="center"/>
    </xf>
    <xf numFmtId="0" fontId="2" fillId="0" borderId="0" xfId="0" applyFont="1" applyFill="1" applyAlignment="1">
      <alignment horizontal="center" vertical="center"/>
    </xf>
    <xf numFmtId="0" fontId="4" fillId="0" borderId="0" xfId="0" quotePrefix="1" applyFont="1" applyFill="1" applyBorder="1" applyAlignment="1">
      <alignment horizontal="center" vertical="center"/>
    </xf>
    <xf numFmtId="0" fontId="4" fillId="0" borderId="0" xfId="0" applyFont="1" applyFill="1" applyBorder="1" applyAlignment="1">
      <alignment horizontal="center" vertical="center"/>
    </xf>
    <xf numFmtId="0" fontId="5" fillId="0" borderId="1" xfId="0" applyFont="1" applyFill="1" applyBorder="1" applyAlignment="1">
      <alignment horizontal="center" vertical="center"/>
    </xf>
    <xf numFmtId="0" fontId="40" fillId="0" borderId="0" xfId="0" applyFont="1" applyFill="1" applyBorder="1" applyAlignment="1">
      <alignment horizontal="center" vertical="center"/>
    </xf>
    <xf numFmtId="0" fontId="40" fillId="0" borderId="0" xfId="0" applyFont="1" applyFill="1" applyAlignment="1">
      <alignment horizontal="center" vertical="center"/>
    </xf>
    <xf numFmtId="0" fontId="6" fillId="0" borderId="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0" xfId="0" applyFont="1" applyFill="1" applyBorder="1" applyAlignment="1">
      <alignment horizontal="right" vertical="center"/>
    </xf>
  </cellXfs>
  <cellStyles count="2">
    <cellStyle name="Comma" xfId="1" builtinId="3"/>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250031</xdr:colOff>
      <xdr:row>2</xdr:row>
      <xdr:rowOff>47625</xdr:rowOff>
    </xdr:from>
    <xdr:to>
      <xdr:col>1</xdr:col>
      <xdr:colOff>1107281</xdr:colOff>
      <xdr:row>2</xdr:row>
      <xdr:rowOff>47625</xdr:rowOff>
    </xdr:to>
    <xdr:cxnSp macro="">
      <xdr:nvCxnSpPr>
        <xdr:cNvPr id="3" name="Straight Connector 2"/>
        <xdr:cNvCxnSpPr/>
      </xdr:nvCxnSpPr>
      <xdr:spPr>
        <a:xfrm>
          <a:off x="619125" y="488156"/>
          <a:ext cx="8572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2</xdr:row>
      <xdr:rowOff>28575</xdr:rowOff>
    </xdr:from>
    <xdr:to>
      <xdr:col>1</xdr:col>
      <xdr:colOff>695325</xdr:colOff>
      <xdr:row>2</xdr:row>
      <xdr:rowOff>28575</xdr:rowOff>
    </xdr:to>
    <xdr:cxnSp macro="">
      <xdr:nvCxnSpPr>
        <xdr:cNvPr id="3" name="Straight Connector 2"/>
        <xdr:cNvCxnSpPr/>
      </xdr:nvCxnSpPr>
      <xdr:spPr>
        <a:xfrm>
          <a:off x="381000" y="428625"/>
          <a:ext cx="6572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OneDrive\H-Lien\KE%20TOAN\2.%20TONG%20HOP\2024\ROFA2024_26.08.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Drive\H-Lien\KE%20TOAN\1.%20KE%20TOAN%20TRUONG\1.%20GIAO%20DU%20TOAN%20THU%20CHI%20NGAN%20SACH\NAM%202023\5.%20TRINH%20UBND%20HUYEN%20GIAO%20DT\BIEU%20DU%20TOAN%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FA2024_26.08.2024"/>
      <sheetName val="Sheet1"/>
    </sheetNames>
    <sheetDataSet>
      <sheetData sheetId="0">
        <row r="709">
          <cell r="I709">
            <v>95771800</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sheetName val="CHI"/>
      <sheetName val="CHI CẤP HUYỆN"/>
      <sheetName val="THU CẤP XÃ"/>
      <sheetName val="CHI CẤP XÃ"/>
      <sheetName val="KHOÁN CHI XÃ"/>
      <sheetName val="LƯƠNG HUYỆN"/>
      <sheetName val="KP KHÔNG TỰ CHỦ"/>
      <sheetName val="TÍNH CCTL HUYỆN"/>
      <sheetName val="CCTL"/>
      <sheetName val="TÍNH DT CÁC XÃ"/>
      <sheetName val="TH DT Trường"/>
      <sheetName val="LƯƠNG GD"/>
      <sheetName val="Lương BV Trường"/>
      <sheetName val="TRANG PHỤC TDTT"/>
      <sheetName val="KHUYẾT TẬT"/>
      <sheetName val="ĂN TRƯA"/>
      <sheetName val="SỬA CHỮA TRƯỜNG"/>
      <sheetName val="ĐBXH CÁC XÃ"/>
      <sheetName val="TÍNH CCTL XÃ"/>
      <sheetName val="CCTL TRƯỜNG"/>
      <sheetName val="THIET BI TRUONG"/>
      <sheetName val="XDCB"/>
    </sheetNames>
    <sheetDataSet>
      <sheetData sheetId="0" refreshError="1"/>
      <sheetData sheetId="1" refreshError="1"/>
      <sheetData sheetId="2">
        <row r="17">
          <cell r="K17">
            <v>338500</v>
          </cell>
        </row>
        <row r="33">
          <cell r="K33">
            <v>36000</v>
          </cell>
        </row>
        <row r="37">
          <cell r="K37">
            <v>20000</v>
          </cell>
        </row>
        <row r="43">
          <cell r="K43">
            <v>5387800</v>
          </cell>
        </row>
        <row r="53">
          <cell r="K53">
            <v>1120000</v>
          </cell>
        </row>
        <row r="56">
          <cell r="K56">
            <v>623840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41">
          <cell r="G41">
            <v>672291</v>
          </cell>
        </row>
      </sheetData>
      <sheetData sheetId="15">
        <row r="8">
          <cell r="K8">
            <v>58640</v>
          </cell>
        </row>
      </sheetData>
      <sheetData sheetId="16">
        <row r="21">
          <cell r="K21">
            <v>144000</v>
          </cell>
        </row>
      </sheetData>
      <sheetData sheetId="17">
        <row r="54">
          <cell r="H54">
            <v>5387800</v>
          </cell>
        </row>
      </sheetData>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M16"/>
  <sheetViews>
    <sheetView tabSelected="1" workbookViewId="0">
      <selection activeCell="D10" sqref="D10"/>
    </sheetView>
  </sheetViews>
  <sheetFormatPr defaultRowHeight="15.75" x14ac:dyDescent="0.25"/>
  <cols>
    <col min="1" max="1" width="5" style="115" customWidth="1"/>
    <col min="2" max="2" width="31.25" style="115" customWidth="1"/>
    <col min="3" max="3" width="20.375" style="115" customWidth="1"/>
    <col min="4" max="4" width="10.625" style="156" customWidth="1"/>
    <col min="5" max="5" width="5.625" style="156" hidden="1" customWidth="1"/>
    <col min="6" max="6" width="8" style="156" customWidth="1"/>
    <col min="7" max="7" width="8.75" style="156" customWidth="1"/>
    <col min="8" max="8" width="6.75" style="156" customWidth="1"/>
    <col min="9" max="9" width="9.25" style="156" customWidth="1"/>
    <col min="10" max="10" width="7.75" style="156" customWidth="1"/>
    <col min="11" max="11" width="6.375" style="156" hidden="1" customWidth="1"/>
    <col min="12" max="12" width="6.5" style="115" customWidth="1"/>
    <col min="13" max="13" width="9" style="115" customWidth="1"/>
    <col min="14" max="16384" width="9" style="115"/>
  </cols>
  <sheetData>
    <row r="1" spans="1:13" x14ac:dyDescent="0.25">
      <c r="L1" s="185" t="s">
        <v>440</v>
      </c>
    </row>
    <row r="2" spans="1:13" ht="22.5" customHeight="1" x14ac:dyDescent="0.25">
      <c r="A2" s="330" t="s">
        <v>728</v>
      </c>
      <c r="B2" s="330"/>
      <c r="C2" s="330"/>
      <c r="D2" s="330"/>
      <c r="E2" s="330"/>
      <c r="F2" s="330"/>
      <c r="G2" s="330"/>
      <c r="H2" s="330"/>
      <c r="I2" s="330"/>
      <c r="J2" s="330"/>
      <c r="K2" s="330"/>
      <c r="L2" s="330"/>
    </row>
    <row r="3" spans="1:13" ht="19.5" customHeight="1" x14ac:dyDescent="0.25">
      <c r="A3" s="331" t="s">
        <v>782</v>
      </c>
      <c r="B3" s="331"/>
      <c r="C3" s="331"/>
      <c r="D3" s="331"/>
      <c r="E3" s="331"/>
      <c r="F3" s="331"/>
      <c r="G3" s="331"/>
      <c r="H3" s="331"/>
      <c r="I3" s="331"/>
      <c r="J3" s="331"/>
      <c r="K3" s="331"/>
      <c r="L3" s="331"/>
    </row>
    <row r="4" spans="1:13" x14ac:dyDescent="0.25">
      <c r="L4" s="186" t="s">
        <v>0</v>
      </c>
    </row>
    <row r="5" spans="1:13" s="187" customFormat="1" x14ac:dyDescent="0.25">
      <c r="A5" s="332" t="s">
        <v>299</v>
      </c>
      <c r="B5" s="332" t="s">
        <v>2</v>
      </c>
      <c r="C5" s="332" t="s">
        <v>330</v>
      </c>
      <c r="D5" s="334" t="s">
        <v>317</v>
      </c>
      <c r="E5" s="336" t="s">
        <v>170</v>
      </c>
      <c r="F5" s="337"/>
      <c r="G5" s="337"/>
      <c r="H5" s="337"/>
      <c r="I5" s="337"/>
      <c r="J5" s="337"/>
      <c r="K5" s="338"/>
      <c r="L5" s="339" t="s">
        <v>173</v>
      </c>
    </row>
    <row r="6" spans="1:13" s="187" customFormat="1" ht="47.25" x14ac:dyDescent="0.25">
      <c r="A6" s="333"/>
      <c r="B6" s="333"/>
      <c r="C6" s="333"/>
      <c r="D6" s="335"/>
      <c r="E6" s="200" t="s">
        <v>319</v>
      </c>
      <c r="F6" s="200" t="s">
        <v>443</v>
      </c>
      <c r="G6" s="200" t="s">
        <v>336</v>
      </c>
      <c r="H6" s="200" t="s">
        <v>337</v>
      </c>
      <c r="I6" s="200" t="s">
        <v>69</v>
      </c>
      <c r="J6" s="200" t="s">
        <v>322</v>
      </c>
      <c r="K6" s="200" t="s">
        <v>310</v>
      </c>
      <c r="L6" s="340"/>
    </row>
    <row r="7" spans="1:13" s="190" customFormat="1" ht="12.75" x14ac:dyDescent="0.25">
      <c r="A7" s="188" t="s">
        <v>3</v>
      </c>
      <c r="B7" s="188" t="s">
        <v>4</v>
      </c>
      <c r="C7" s="188" t="s">
        <v>162</v>
      </c>
      <c r="D7" s="189" t="s">
        <v>324</v>
      </c>
      <c r="E7" s="189">
        <v>2</v>
      </c>
      <c r="F7" s="189">
        <v>3</v>
      </c>
      <c r="G7" s="189">
        <v>4</v>
      </c>
      <c r="H7" s="189">
        <v>5</v>
      </c>
      <c r="I7" s="189">
        <v>6</v>
      </c>
      <c r="J7" s="189">
        <v>7</v>
      </c>
      <c r="K7" s="189">
        <v>8</v>
      </c>
      <c r="L7" s="188" t="s">
        <v>325</v>
      </c>
    </row>
    <row r="8" spans="1:13" ht="35.25" customHeight="1" x14ac:dyDescent="0.25">
      <c r="A8" s="114">
        <v>1</v>
      </c>
      <c r="B8" s="114" t="s">
        <v>331</v>
      </c>
      <c r="C8" s="328" t="s">
        <v>334</v>
      </c>
      <c r="D8" s="193">
        <f>SUM(E8:K8)</f>
        <v>1279153</v>
      </c>
      <c r="E8" s="193">
        <f>'KHÔNG TỰ CHỦ'!L9</f>
        <v>0</v>
      </c>
      <c r="F8" s="193">
        <f>'KHÔNG TỰ CHỦ'!M9</f>
        <v>136954</v>
      </c>
      <c r="G8" s="193">
        <f>'KHÔNG TỰ CHỦ'!N9</f>
        <v>855592</v>
      </c>
      <c r="H8" s="193">
        <f>'KHÔNG TỰ CHỦ'!P9</f>
        <v>40865</v>
      </c>
      <c r="I8" s="193">
        <f>'KHÔNG TỰ CHỦ'!O9</f>
        <v>245742</v>
      </c>
      <c r="J8" s="193"/>
      <c r="K8" s="193">
        <f>'KHÔNG TỰ CHỦ'!Q9</f>
        <v>0</v>
      </c>
      <c r="L8" s="192"/>
      <c r="M8" s="145"/>
    </row>
    <row r="9" spans="1:13" ht="24.75" customHeight="1" x14ac:dyDescent="0.25">
      <c r="A9" s="114">
        <v>2</v>
      </c>
      <c r="B9" s="114" t="s">
        <v>726</v>
      </c>
      <c r="C9" s="329"/>
      <c r="D9" s="193">
        <f>SUM(E9:K9)</f>
        <v>1984473</v>
      </c>
      <c r="E9" s="193"/>
      <c r="F9" s="193"/>
      <c r="G9" s="193">
        <f>1000000+(1000000-15527)</f>
        <v>1984473</v>
      </c>
      <c r="H9" s="193"/>
      <c r="I9" s="193"/>
      <c r="J9" s="193"/>
      <c r="K9" s="193"/>
      <c r="L9" s="192"/>
      <c r="M9" s="145"/>
    </row>
    <row r="10" spans="1:13" s="191" customFormat="1" ht="21.75" customHeight="1" x14ac:dyDescent="0.25">
      <c r="A10" s="114">
        <v>3</v>
      </c>
      <c r="B10" s="195" t="s">
        <v>333</v>
      </c>
      <c r="C10" s="198"/>
      <c r="D10" s="199">
        <v>200000</v>
      </c>
      <c r="E10" s="199"/>
      <c r="F10" s="199"/>
      <c r="G10" s="199"/>
      <c r="H10" s="199"/>
      <c r="I10" s="199"/>
      <c r="J10" s="199">
        <f>D10</f>
        <v>200000</v>
      </c>
      <c r="K10" s="199"/>
      <c r="L10" s="194"/>
      <c r="M10" s="212"/>
    </row>
    <row r="11" spans="1:13" s="191" customFormat="1" ht="21.75" customHeight="1" x14ac:dyDescent="0.25">
      <c r="A11" s="114">
        <v>4</v>
      </c>
      <c r="B11" s="195" t="s">
        <v>335</v>
      </c>
      <c r="C11" s="198"/>
      <c r="D11" s="199">
        <v>500000</v>
      </c>
      <c r="E11" s="199"/>
      <c r="F11" s="199"/>
      <c r="G11" s="199"/>
      <c r="H11" s="199"/>
      <c r="I11" s="199">
        <f>D11</f>
        <v>500000</v>
      </c>
      <c r="J11" s="199"/>
      <c r="K11" s="199"/>
      <c r="L11" s="194"/>
      <c r="M11" s="212"/>
    </row>
    <row r="12" spans="1:13" s="191" customFormat="1" ht="21.75" customHeight="1" x14ac:dyDescent="0.25">
      <c r="A12" s="114">
        <v>5</v>
      </c>
      <c r="B12" s="195" t="s">
        <v>641</v>
      </c>
      <c r="C12" s="198"/>
      <c r="D12" s="199">
        <v>30000</v>
      </c>
      <c r="E12" s="199"/>
      <c r="F12" s="199"/>
      <c r="G12" s="199"/>
      <c r="H12" s="199"/>
      <c r="I12" s="199">
        <f>D12</f>
        <v>30000</v>
      </c>
      <c r="J12" s="199"/>
      <c r="K12" s="199"/>
      <c r="L12" s="194"/>
      <c r="M12" s="212"/>
    </row>
    <row r="13" spans="1:13" s="191" customFormat="1" ht="47.25" x14ac:dyDescent="0.25">
      <c r="A13" s="114">
        <v>6</v>
      </c>
      <c r="B13" s="198" t="s">
        <v>727</v>
      </c>
      <c r="C13" s="215" t="s">
        <v>332</v>
      </c>
      <c r="D13" s="199">
        <f>40500</f>
        <v>40500</v>
      </c>
      <c r="E13" s="199"/>
      <c r="F13" s="199">
        <f>D13</f>
        <v>40500</v>
      </c>
      <c r="G13" s="199"/>
      <c r="H13" s="199"/>
      <c r="I13" s="199"/>
      <c r="J13" s="199"/>
      <c r="K13" s="199"/>
      <c r="L13" s="194"/>
      <c r="M13" s="213"/>
    </row>
    <row r="14" spans="1:13" s="191" customFormat="1" ht="4.5" customHeight="1" x14ac:dyDescent="0.25">
      <c r="A14" s="114"/>
      <c r="B14" s="323"/>
      <c r="C14" s="261"/>
      <c r="D14" s="262"/>
      <c r="E14" s="262"/>
      <c r="F14" s="262"/>
      <c r="G14" s="262"/>
      <c r="H14" s="262"/>
      <c r="I14" s="262"/>
      <c r="J14" s="262"/>
      <c r="K14" s="262"/>
      <c r="L14" s="263"/>
      <c r="M14" s="213"/>
    </row>
    <row r="15" spans="1:13" s="111" customFormat="1" ht="23.25" customHeight="1" x14ac:dyDescent="0.25">
      <c r="A15" s="157"/>
      <c r="B15" s="196" t="s">
        <v>180</v>
      </c>
      <c r="C15" s="157"/>
      <c r="D15" s="158">
        <f t="shared" ref="D15:K15" si="0">SUM(D8:D14)</f>
        <v>4034126</v>
      </c>
      <c r="E15" s="158">
        <f t="shared" si="0"/>
        <v>0</v>
      </c>
      <c r="F15" s="158">
        <f t="shared" si="0"/>
        <v>177454</v>
      </c>
      <c r="G15" s="158">
        <f t="shared" si="0"/>
        <v>2840065</v>
      </c>
      <c r="H15" s="158">
        <f t="shared" si="0"/>
        <v>40865</v>
      </c>
      <c r="I15" s="158">
        <f t="shared" si="0"/>
        <v>775742</v>
      </c>
      <c r="J15" s="158">
        <f t="shared" si="0"/>
        <v>200000</v>
      </c>
      <c r="K15" s="158">
        <f t="shared" si="0"/>
        <v>0</v>
      </c>
      <c r="L15" s="157"/>
      <c r="M15" s="144"/>
    </row>
    <row r="16" spans="1:13" x14ac:dyDescent="0.25">
      <c r="D16" s="145">
        <f>D15-SUM(E15:K15)</f>
        <v>0</v>
      </c>
      <c r="L16" s="156"/>
    </row>
  </sheetData>
  <mergeCells count="9">
    <mergeCell ref="C8:C9"/>
    <mergeCell ref="A2:L2"/>
    <mergeCell ref="A3:L3"/>
    <mergeCell ref="A5:A6"/>
    <mergeCell ref="B5:B6"/>
    <mergeCell ref="C5:C6"/>
    <mergeCell ref="D5:D6"/>
    <mergeCell ref="E5:K5"/>
    <mergeCell ref="L5:L6"/>
  </mergeCells>
  <printOptions horizontalCentered="1"/>
  <pageMargins left="0" right="0" top="0.75" bottom="0.75" header="0.3" footer="0.3"/>
  <pageSetup paperSize="9" scale="11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Q56"/>
  <sheetViews>
    <sheetView zoomScale="80" zoomScaleNormal="80" workbookViewId="0">
      <selection activeCell="A3" sqref="A3:O3"/>
    </sheetView>
  </sheetViews>
  <sheetFormatPr defaultRowHeight="15.75" x14ac:dyDescent="0.25"/>
  <cols>
    <col min="1" max="1" width="4.875" style="115" bestFit="1" customWidth="1"/>
    <col min="2" max="2" width="46.25" style="115" customWidth="1"/>
    <col min="3" max="3" width="19.75" style="115" customWidth="1"/>
    <col min="4" max="4" width="11.875" style="115" customWidth="1"/>
    <col min="5" max="5" width="9.75" style="115" customWidth="1"/>
    <col min="6" max="6" width="9.625" style="115" customWidth="1"/>
    <col min="7" max="7" width="9.625" style="115" hidden="1" customWidth="1"/>
    <col min="8" max="8" width="10" style="115" customWidth="1"/>
    <col min="9" max="9" width="10.375" style="115" customWidth="1"/>
    <col min="10" max="10" width="9.875" style="115" hidden="1" customWidth="1"/>
    <col min="11" max="12" width="9.875" style="115" customWidth="1"/>
    <col min="13" max="13" width="8.625" style="115" customWidth="1"/>
    <col min="14" max="14" width="9.375" style="115" customWidth="1"/>
    <col min="15" max="15" width="13.875" style="115" customWidth="1"/>
    <col min="16" max="16" width="11.5" style="230" bestFit="1" customWidth="1"/>
    <col min="17" max="17" width="22.375" style="115" customWidth="1"/>
    <col min="18" max="18" width="14.125" style="115" bestFit="1" customWidth="1"/>
    <col min="19" max="262" width="9" style="115"/>
    <col min="263" max="263" width="13.5" style="115" customWidth="1"/>
    <col min="264" max="264" width="26.125" style="115" customWidth="1"/>
    <col min="265" max="265" width="75.375" style="115" customWidth="1"/>
    <col min="266" max="266" width="14.375" style="115" customWidth="1"/>
    <col min="267" max="267" width="16" style="115" bestFit="1" customWidth="1"/>
    <col min="268" max="270" width="15.5" style="115" customWidth="1"/>
    <col min="271" max="271" width="32.625" style="115" customWidth="1"/>
    <col min="272" max="272" width="14.125" style="115" bestFit="1" customWidth="1"/>
    <col min="273" max="273" width="22.375" style="115" customWidth="1"/>
    <col min="274" max="274" width="14.125" style="115" bestFit="1" customWidth="1"/>
    <col min="275" max="518" width="9" style="115"/>
    <col min="519" max="519" width="13.5" style="115" customWidth="1"/>
    <col min="520" max="520" width="26.125" style="115" customWidth="1"/>
    <col min="521" max="521" width="75.375" style="115" customWidth="1"/>
    <col min="522" max="522" width="14.375" style="115" customWidth="1"/>
    <col min="523" max="523" width="16" style="115" bestFit="1" customWidth="1"/>
    <col min="524" max="526" width="15.5" style="115" customWidth="1"/>
    <col min="527" max="527" width="32.625" style="115" customWidth="1"/>
    <col min="528" max="528" width="14.125" style="115" bestFit="1" customWidth="1"/>
    <col min="529" max="529" width="22.375" style="115" customWidth="1"/>
    <col min="530" max="530" width="14.125" style="115" bestFit="1" customWidth="1"/>
    <col min="531" max="774" width="9" style="115"/>
    <col min="775" max="775" width="13.5" style="115" customWidth="1"/>
    <col min="776" max="776" width="26.125" style="115" customWidth="1"/>
    <col min="777" max="777" width="75.375" style="115" customWidth="1"/>
    <col min="778" max="778" width="14.375" style="115" customWidth="1"/>
    <col min="779" max="779" width="16" style="115" bestFit="1" customWidth="1"/>
    <col min="780" max="782" width="15.5" style="115" customWidth="1"/>
    <col min="783" max="783" width="32.625" style="115" customWidth="1"/>
    <col min="784" max="784" width="14.125" style="115" bestFit="1" customWidth="1"/>
    <col min="785" max="785" width="22.375" style="115" customWidth="1"/>
    <col min="786" max="786" width="14.125" style="115" bestFit="1" customWidth="1"/>
    <col min="787" max="1030" width="9" style="115"/>
    <col min="1031" max="1031" width="13.5" style="115" customWidth="1"/>
    <col min="1032" max="1032" width="26.125" style="115" customWidth="1"/>
    <col min="1033" max="1033" width="75.375" style="115" customWidth="1"/>
    <col min="1034" max="1034" width="14.375" style="115" customWidth="1"/>
    <col min="1035" max="1035" width="16" style="115" bestFit="1" customWidth="1"/>
    <col min="1036" max="1038" width="15.5" style="115" customWidth="1"/>
    <col min="1039" max="1039" width="32.625" style="115" customWidth="1"/>
    <col min="1040" max="1040" width="14.125" style="115" bestFit="1" customWidth="1"/>
    <col min="1041" max="1041" width="22.375" style="115" customWidth="1"/>
    <col min="1042" max="1042" width="14.125" style="115" bestFit="1" customWidth="1"/>
    <col min="1043" max="1286" width="9" style="115"/>
    <col min="1287" max="1287" width="13.5" style="115" customWidth="1"/>
    <col min="1288" max="1288" width="26.125" style="115" customWidth="1"/>
    <col min="1289" max="1289" width="75.375" style="115" customWidth="1"/>
    <col min="1290" max="1290" width="14.375" style="115" customWidth="1"/>
    <col min="1291" max="1291" width="16" style="115" bestFit="1" customWidth="1"/>
    <col min="1292" max="1294" width="15.5" style="115" customWidth="1"/>
    <col min="1295" max="1295" width="32.625" style="115" customWidth="1"/>
    <col min="1296" max="1296" width="14.125" style="115" bestFit="1" customWidth="1"/>
    <col min="1297" max="1297" width="22.375" style="115" customWidth="1"/>
    <col min="1298" max="1298" width="14.125" style="115" bestFit="1" customWidth="1"/>
    <col min="1299" max="1542" width="9" style="115"/>
    <col min="1543" max="1543" width="13.5" style="115" customWidth="1"/>
    <col min="1544" max="1544" width="26.125" style="115" customWidth="1"/>
    <col min="1545" max="1545" width="75.375" style="115" customWidth="1"/>
    <col min="1546" max="1546" width="14.375" style="115" customWidth="1"/>
    <col min="1547" max="1547" width="16" style="115" bestFit="1" customWidth="1"/>
    <col min="1548" max="1550" width="15.5" style="115" customWidth="1"/>
    <col min="1551" max="1551" width="32.625" style="115" customWidth="1"/>
    <col min="1552" max="1552" width="14.125" style="115" bestFit="1" customWidth="1"/>
    <col min="1553" max="1553" width="22.375" style="115" customWidth="1"/>
    <col min="1554" max="1554" width="14.125" style="115" bestFit="1" customWidth="1"/>
    <col min="1555" max="1798" width="9" style="115"/>
    <col min="1799" max="1799" width="13.5" style="115" customWidth="1"/>
    <col min="1800" max="1800" width="26.125" style="115" customWidth="1"/>
    <col min="1801" max="1801" width="75.375" style="115" customWidth="1"/>
    <col min="1802" max="1802" width="14.375" style="115" customWidth="1"/>
    <col min="1803" max="1803" width="16" style="115" bestFit="1" customWidth="1"/>
    <col min="1804" max="1806" width="15.5" style="115" customWidth="1"/>
    <col min="1807" max="1807" width="32.625" style="115" customWidth="1"/>
    <col min="1808" max="1808" width="14.125" style="115" bestFit="1" customWidth="1"/>
    <col min="1809" max="1809" width="22.375" style="115" customWidth="1"/>
    <col min="1810" max="1810" width="14.125" style="115" bestFit="1" customWidth="1"/>
    <col min="1811" max="2054" width="9" style="115"/>
    <col min="2055" max="2055" width="13.5" style="115" customWidth="1"/>
    <col min="2056" max="2056" width="26.125" style="115" customWidth="1"/>
    <col min="2057" max="2057" width="75.375" style="115" customWidth="1"/>
    <col min="2058" max="2058" width="14.375" style="115" customWidth="1"/>
    <col min="2059" max="2059" width="16" style="115" bestFit="1" customWidth="1"/>
    <col min="2060" max="2062" width="15.5" style="115" customWidth="1"/>
    <col min="2063" max="2063" width="32.625" style="115" customWidth="1"/>
    <col min="2064" max="2064" width="14.125" style="115" bestFit="1" customWidth="1"/>
    <col min="2065" max="2065" width="22.375" style="115" customWidth="1"/>
    <col min="2066" max="2066" width="14.125" style="115" bestFit="1" customWidth="1"/>
    <col min="2067" max="2310" width="9" style="115"/>
    <col min="2311" max="2311" width="13.5" style="115" customWidth="1"/>
    <col min="2312" max="2312" width="26.125" style="115" customWidth="1"/>
    <col min="2313" max="2313" width="75.375" style="115" customWidth="1"/>
    <col min="2314" max="2314" width="14.375" style="115" customWidth="1"/>
    <col min="2315" max="2315" width="16" style="115" bestFit="1" customWidth="1"/>
    <col min="2316" max="2318" width="15.5" style="115" customWidth="1"/>
    <col min="2319" max="2319" width="32.625" style="115" customWidth="1"/>
    <col min="2320" max="2320" width="14.125" style="115" bestFit="1" customWidth="1"/>
    <col min="2321" max="2321" width="22.375" style="115" customWidth="1"/>
    <col min="2322" max="2322" width="14.125" style="115" bestFit="1" customWidth="1"/>
    <col min="2323" max="2566" width="9" style="115"/>
    <col min="2567" max="2567" width="13.5" style="115" customWidth="1"/>
    <col min="2568" max="2568" width="26.125" style="115" customWidth="1"/>
    <col min="2569" max="2569" width="75.375" style="115" customWidth="1"/>
    <col min="2570" max="2570" width="14.375" style="115" customWidth="1"/>
    <col min="2571" max="2571" width="16" style="115" bestFit="1" customWidth="1"/>
    <col min="2572" max="2574" width="15.5" style="115" customWidth="1"/>
    <col min="2575" max="2575" width="32.625" style="115" customWidth="1"/>
    <col min="2576" max="2576" width="14.125" style="115" bestFit="1" customWidth="1"/>
    <col min="2577" max="2577" width="22.375" style="115" customWidth="1"/>
    <col min="2578" max="2578" width="14.125" style="115" bestFit="1" customWidth="1"/>
    <col min="2579" max="2822" width="9" style="115"/>
    <col min="2823" max="2823" width="13.5" style="115" customWidth="1"/>
    <col min="2824" max="2824" width="26.125" style="115" customWidth="1"/>
    <col min="2825" max="2825" width="75.375" style="115" customWidth="1"/>
    <col min="2826" max="2826" width="14.375" style="115" customWidth="1"/>
    <col min="2827" max="2827" width="16" style="115" bestFit="1" customWidth="1"/>
    <col min="2828" max="2830" width="15.5" style="115" customWidth="1"/>
    <col min="2831" max="2831" width="32.625" style="115" customWidth="1"/>
    <col min="2832" max="2832" width="14.125" style="115" bestFit="1" customWidth="1"/>
    <col min="2833" max="2833" width="22.375" style="115" customWidth="1"/>
    <col min="2834" max="2834" width="14.125" style="115" bestFit="1" customWidth="1"/>
    <col min="2835" max="3078" width="9" style="115"/>
    <col min="3079" max="3079" width="13.5" style="115" customWidth="1"/>
    <col min="3080" max="3080" width="26.125" style="115" customWidth="1"/>
    <col min="3081" max="3081" width="75.375" style="115" customWidth="1"/>
    <col min="3082" max="3082" width="14.375" style="115" customWidth="1"/>
    <col min="3083" max="3083" width="16" style="115" bestFit="1" customWidth="1"/>
    <col min="3084" max="3086" width="15.5" style="115" customWidth="1"/>
    <col min="3087" max="3087" width="32.625" style="115" customWidth="1"/>
    <col min="3088" max="3088" width="14.125" style="115" bestFit="1" customWidth="1"/>
    <col min="3089" max="3089" width="22.375" style="115" customWidth="1"/>
    <col min="3090" max="3090" width="14.125" style="115" bestFit="1" customWidth="1"/>
    <col min="3091" max="3334" width="9" style="115"/>
    <col min="3335" max="3335" width="13.5" style="115" customWidth="1"/>
    <col min="3336" max="3336" width="26.125" style="115" customWidth="1"/>
    <col min="3337" max="3337" width="75.375" style="115" customWidth="1"/>
    <col min="3338" max="3338" width="14.375" style="115" customWidth="1"/>
    <col min="3339" max="3339" width="16" style="115" bestFit="1" customWidth="1"/>
    <col min="3340" max="3342" width="15.5" style="115" customWidth="1"/>
    <col min="3343" max="3343" width="32.625" style="115" customWidth="1"/>
    <col min="3344" max="3344" width="14.125" style="115" bestFit="1" customWidth="1"/>
    <col min="3345" max="3345" width="22.375" style="115" customWidth="1"/>
    <col min="3346" max="3346" width="14.125" style="115" bestFit="1" customWidth="1"/>
    <col min="3347" max="3590" width="9" style="115"/>
    <col min="3591" max="3591" width="13.5" style="115" customWidth="1"/>
    <col min="3592" max="3592" width="26.125" style="115" customWidth="1"/>
    <col min="3593" max="3593" width="75.375" style="115" customWidth="1"/>
    <col min="3594" max="3594" width="14.375" style="115" customWidth="1"/>
    <col min="3595" max="3595" width="16" style="115" bestFit="1" customWidth="1"/>
    <col min="3596" max="3598" width="15.5" style="115" customWidth="1"/>
    <col min="3599" max="3599" width="32.625" style="115" customWidth="1"/>
    <col min="3600" max="3600" width="14.125" style="115" bestFit="1" customWidth="1"/>
    <col min="3601" max="3601" width="22.375" style="115" customWidth="1"/>
    <col min="3602" max="3602" width="14.125" style="115" bestFit="1" customWidth="1"/>
    <col min="3603" max="3846" width="9" style="115"/>
    <col min="3847" max="3847" width="13.5" style="115" customWidth="1"/>
    <col min="3848" max="3848" width="26.125" style="115" customWidth="1"/>
    <col min="3849" max="3849" width="75.375" style="115" customWidth="1"/>
    <col min="3850" max="3850" width="14.375" style="115" customWidth="1"/>
    <col min="3851" max="3851" width="16" style="115" bestFit="1" customWidth="1"/>
    <col min="3852" max="3854" width="15.5" style="115" customWidth="1"/>
    <col min="3855" max="3855" width="32.625" style="115" customWidth="1"/>
    <col min="3856" max="3856" width="14.125" style="115" bestFit="1" customWidth="1"/>
    <col min="3857" max="3857" width="22.375" style="115" customWidth="1"/>
    <col min="3858" max="3858" width="14.125" style="115" bestFit="1" customWidth="1"/>
    <col min="3859" max="4102" width="9" style="115"/>
    <col min="4103" max="4103" width="13.5" style="115" customWidth="1"/>
    <col min="4104" max="4104" width="26.125" style="115" customWidth="1"/>
    <col min="4105" max="4105" width="75.375" style="115" customWidth="1"/>
    <col min="4106" max="4106" width="14.375" style="115" customWidth="1"/>
    <col min="4107" max="4107" width="16" style="115" bestFit="1" customWidth="1"/>
    <col min="4108" max="4110" width="15.5" style="115" customWidth="1"/>
    <col min="4111" max="4111" width="32.625" style="115" customWidth="1"/>
    <col min="4112" max="4112" width="14.125" style="115" bestFit="1" customWidth="1"/>
    <col min="4113" max="4113" width="22.375" style="115" customWidth="1"/>
    <col min="4114" max="4114" width="14.125" style="115" bestFit="1" customWidth="1"/>
    <col min="4115" max="4358" width="9" style="115"/>
    <col min="4359" max="4359" width="13.5" style="115" customWidth="1"/>
    <col min="4360" max="4360" width="26.125" style="115" customWidth="1"/>
    <col min="4361" max="4361" width="75.375" style="115" customWidth="1"/>
    <col min="4362" max="4362" width="14.375" style="115" customWidth="1"/>
    <col min="4363" max="4363" width="16" style="115" bestFit="1" customWidth="1"/>
    <col min="4364" max="4366" width="15.5" style="115" customWidth="1"/>
    <col min="4367" max="4367" width="32.625" style="115" customWidth="1"/>
    <col min="4368" max="4368" width="14.125" style="115" bestFit="1" customWidth="1"/>
    <col min="4369" max="4369" width="22.375" style="115" customWidth="1"/>
    <col min="4370" max="4370" width="14.125" style="115" bestFit="1" customWidth="1"/>
    <col min="4371" max="4614" width="9" style="115"/>
    <col min="4615" max="4615" width="13.5" style="115" customWidth="1"/>
    <col min="4616" max="4616" width="26.125" style="115" customWidth="1"/>
    <col min="4617" max="4617" width="75.375" style="115" customWidth="1"/>
    <col min="4618" max="4618" width="14.375" style="115" customWidth="1"/>
    <col min="4619" max="4619" width="16" style="115" bestFit="1" customWidth="1"/>
    <col min="4620" max="4622" width="15.5" style="115" customWidth="1"/>
    <col min="4623" max="4623" width="32.625" style="115" customWidth="1"/>
    <col min="4624" max="4624" width="14.125" style="115" bestFit="1" customWidth="1"/>
    <col min="4625" max="4625" width="22.375" style="115" customWidth="1"/>
    <col min="4626" max="4626" width="14.125" style="115" bestFit="1" customWidth="1"/>
    <col min="4627" max="4870" width="9" style="115"/>
    <col min="4871" max="4871" width="13.5" style="115" customWidth="1"/>
    <col min="4872" max="4872" width="26.125" style="115" customWidth="1"/>
    <col min="4873" max="4873" width="75.375" style="115" customWidth="1"/>
    <col min="4874" max="4874" width="14.375" style="115" customWidth="1"/>
    <col min="4875" max="4875" width="16" style="115" bestFit="1" customWidth="1"/>
    <col min="4876" max="4878" width="15.5" style="115" customWidth="1"/>
    <col min="4879" max="4879" width="32.625" style="115" customWidth="1"/>
    <col min="4880" max="4880" width="14.125" style="115" bestFit="1" customWidth="1"/>
    <col min="4881" max="4881" width="22.375" style="115" customWidth="1"/>
    <col min="4882" max="4882" width="14.125" style="115" bestFit="1" customWidth="1"/>
    <col min="4883" max="5126" width="9" style="115"/>
    <col min="5127" max="5127" width="13.5" style="115" customWidth="1"/>
    <col min="5128" max="5128" width="26.125" style="115" customWidth="1"/>
    <col min="5129" max="5129" width="75.375" style="115" customWidth="1"/>
    <col min="5130" max="5130" width="14.375" style="115" customWidth="1"/>
    <col min="5131" max="5131" width="16" style="115" bestFit="1" customWidth="1"/>
    <col min="5132" max="5134" width="15.5" style="115" customWidth="1"/>
    <col min="5135" max="5135" width="32.625" style="115" customWidth="1"/>
    <col min="5136" max="5136" width="14.125" style="115" bestFit="1" customWidth="1"/>
    <col min="5137" max="5137" width="22.375" style="115" customWidth="1"/>
    <col min="5138" max="5138" width="14.125" style="115" bestFit="1" customWidth="1"/>
    <col min="5139" max="5382" width="9" style="115"/>
    <col min="5383" max="5383" width="13.5" style="115" customWidth="1"/>
    <col min="5384" max="5384" width="26.125" style="115" customWidth="1"/>
    <col min="5385" max="5385" width="75.375" style="115" customWidth="1"/>
    <col min="5386" max="5386" width="14.375" style="115" customWidth="1"/>
    <col min="5387" max="5387" width="16" style="115" bestFit="1" customWidth="1"/>
    <col min="5388" max="5390" width="15.5" style="115" customWidth="1"/>
    <col min="5391" max="5391" width="32.625" style="115" customWidth="1"/>
    <col min="5392" max="5392" width="14.125" style="115" bestFit="1" customWidth="1"/>
    <col min="5393" max="5393" width="22.375" style="115" customWidth="1"/>
    <col min="5394" max="5394" width="14.125" style="115" bestFit="1" customWidth="1"/>
    <col min="5395" max="5638" width="9" style="115"/>
    <col min="5639" max="5639" width="13.5" style="115" customWidth="1"/>
    <col min="5640" max="5640" width="26.125" style="115" customWidth="1"/>
    <col min="5641" max="5641" width="75.375" style="115" customWidth="1"/>
    <col min="5642" max="5642" width="14.375" style="115" customWidth="1"/>
    <col min="5643" max="5643" width="16" style="115" bestFit="1" customWidth="1"/>
    <col min="5644" max="5646" width="15.5" style="115" customWidth="1"/>
    <col min="5647" max="5647" width="32.625" style="115" customWidth="1"/>
    <col min="5648" max="5648" width="14.125" style="115" bestFit="1" customWidth="1"/>
    <col min="5649" max="5649" width="22.375" style="115" customWidth="1"/>
    <col min="5650" max="5650" width="14.125" style="115" bestFit="1" customWidth="1"/>
    <col min="5651" max="5894" width="9" style="115"/>
    <col min="5895" max="5895" width="13.5" style="115" customWidth="1"/>
    <col min="5896" max="5896" width="26.125" style="115" customWidth="1"/>
    <col min="5897" max="5897" width="75.375" style="115" customWidth="1"/>
    <col min="5898" max="5898" width="14.375" style="115" customWidth="1"/>
    <col min="5899" max="5899" width="16" style="115" bestFit="1" customWidth="1"/>
    <col min="5900" max="5902" width="15.5" style="115" customWidth="1"/>
    <col min="5903" max="5903" width="32.625" style="115" customWidth="1"/>
    <col min="5904" max="5904" width="14.125" style="115" bestFit="1" customWidth="1"/>
    <col min="5905" max="5905" width="22.375" style="115" customWidth="1"/>
    <col min="5906" max="5906" width="14.125" style="115" bestFit="1" customWidth="1"/>
    <col min="5907" max="6150" width="9" style="115"/>
    <col min="6151" max="6151" width="13.5" style="115" customWidth="1"/>
    <col min="6152" max="6152" width="26.125" style="115" customWidth="1"/>
    <col min="6153" max="6153" width="75.375" style="115" customWidth="1"/>
    <col min="6154" max="6154" width="14.375" style="115" customWidth="1"/>
    <col min="6155" max="6155" width="16" style="115" bestFit="1" customWidth="1"/>
    <col min="6156" max="6158" width="15.5" style="115" customWidth="1"/>
    <col min="6159" max="6159" width="32.625" style="115" customWidth="1"/>
    <col min="6160" max="6160" width="14.125" style="115" bestFit="1" customWidth="1"/>
    <col min="6161" max="6161" width="22.375" style="115" customWidth="1"/>
    <col min="6162" max="6162" width="14.125" style="115" bestFit="1" customWidth="1"/>
    <col min="6163" max="6406" width="9" style="115"/>
    <col min="6407" max="6407" width="13.5" style="115" customWidth="1"/>
    <col min="6408" max="6408" width="26.125" style="115" customWidth="1"/>
    <col min="6409" max="6409" width="75.375" style="115" customWidth="1"/>
    <col min="6410" max="6410" width="14.375" style="115" customWidth="1"/>
    <col min="6411" max="6411" width="16" style="115" bestFit="1" customWidth="1"/>
    <col min="6412" max="6414" width="15.5" style="115" customWidth="1"/>
    <col min="6415" max="6415" width="32.625" style="115" customWidth="1"/>
    <col min="6416" max="6416" width="14.125" style="115" bestFit="1" customWidth="1"/>
    <col min="6417" max="6417" width="22.375" style="115" customWidth="1"/>
    <col min="6418" max="6418" width="14.125" style="115" bestFit="1" customWidth="1"/>
    <col min="6419" max="6662" width="9" style="115"/>
    <col min="6663" max="6663" width="13.5" style="115" customWidth="1"/>
    <col min="6664" max="6664" width="26.125" style="115" customWidth="1"/>
    <col min="6665" max="6665" width="75.375" style="115" customWidth="1"/>
    <col min="6666" max="6666" width="14.375" style="115" customWidth="1"/>
    <col min="6667" max="6667" width="16" style="115" bestFit="1" customWidth="1"/>
    <col min="6668" max="6670" width="15.5" style="115" customWidth="1"/>
    <col min="6671" max="6671" width="32.625" style="115" customWidth="1"/>
    <col min="6672" max="6672" width="14.125" style="115" bestFit="1" customWidth="1"/>
    <col min="6673" max="6673" width="22.375" style="115" customWidth="1"/>
    <col min="6674" max="6674" width="14.125" style="115" bestFit="1" customWidth="1"/>
    <col min="6675" max="6918" width="9" style="115"/>
    <col min="6919" max="6919" width="13.5" style="115" customWidth="1"/>
    <col min="6920" max="6920" width="26.125" style="115" customWidth="1"/>
    <col min="6921" max="6921" width="75.375" style="115" customWidth="1"/>
    <col min="6922" max="6922" width="14.375" style="115" customWidth="1"/>
    <col min="6923" max="6923" width="16" style="115" bestFit="1" customWidth="1"/>
    <col min="6924" max="6926" width="15.5" style="115" customWidth="1"/>
    <col min="6927" max="6927" width="32.625" style="115" customWidth="1"/>
    <col min="6928" max="6928" width="14.125" style="115" bestFit="1" customWidth="1"/>
    <col min="6929" max="6929" width="22.375" style="115" customWidth="1"/>
    <col min="6930" max="6930" width="14.125" style="115" bestFit="1" customWidth="1"/>
    <col min="6931" max="7174" width="9" style="115"/>
    <col min="7175" max="7175" width="13.5" style="115" customWidth="1"/>
    <col min="7176" max="7176" width="26.125" style="115" customWidth="1"/>
    <col min="7177" max="7177" width="75.375" style="115" customWidth="1"/>
    <col min="7178" max="7178" width="14.375" style="115" customWidth="1"/>
    <col min="7179" max="7179" width="16" style="115" bestFit="1" customWidth="1"/>
    <col min="7180" max="7182" width="15.5" style="115" customWidth="1"/>
    <col min="7183" max="7183" width="32.625" style="115" customWidth="1"/>
    <col min="7184" max="7184" width="14.125" style="115" bestFit="1" customWidth="1"/>
    <col min="7185" max="7185" width="22.375" style="115" customWidth="1"/>
    <col min="7186" max="7186" width="14.125" style="115" bestFit="1" customWidth="1"/>
    <col min="7187" max="7430" width="9" style="115"/>
    <col min="7431" max="7431" width="13.5" style="115" customWidth="1"/>
    <col min="7432" max="7432" width="26.125" style="115" customWidth="1"/>
    <col min="7433" max="7433" width="75.375" style="115" customWidth="1"/>
    <col min="7434" max="7434" width="14.375" style="115" customWidth="1"/>
    <col min="7435" max="7435" width="16" style="115" bestFit="1" customWidth="1"/>
    <col min="7436" max="7438" width="15.5" style="115" customWidth="1"/>
    <col min="7439" max="7439" width="32.625" style="115" customWidth="1"/>
    <col min="7440" max="7440" width="14.125" style="115" bestFit="1" customWidth="1"/>
    <col min="7441" max="7441" width="22.375" style="115" customWidth="1"/>
    <col min="7442" max="7442" width="14.125" style="115" bestFit="1" customWidth="1"/>
    <col min="7443" max="7686" width="9" style="115"/>
    <col min="7687" max="7687" width="13.5" style="115" customWidth="1"/>
    <col min="7688" max="7688" width="26.125" style="115" customWidth="1"/>
    <col min="7689" max="7689" width="75.375" style="115" customWidth="1"/>
    <col min="7690" max="7690" width="14.375" style="115" customWidth="1"/>
    <col min="7691" max="7691" width="16" style="115" bestFit="1" customWidth="1"/>
    <col min="7692" max="7694" width="15.5" style="115" customWidth="1"/>
    <col min="7695" max="7695" width="32.625" style="115" customWidth="1"/>
    <col min="7696" max="7696" width="14.125" style="115" bestFit="1" customWidth="1"/>
    <col min="7697" max="7697" width="22.375" style="115" customWidth="1"/>
    <col min="7698" max="7698" width="14.125" style="115" bestFit="1" customWidth="1"/>
    <col min="7699" max="7942" width="9" style="115"/>
    <col min="7943" max="7943" width="13.5" style="115" customWidth="1"/>
    <col min="7944" max="7944" width="26.125" style="115" customWidth="1"/>
    <col min="7945" max="7945" width="75.375" style="115" customWidth="1"/>
    <col min="7946" max="7946" width="14.375" style="115" customWidth="1"/>
    <col min="7947" max="7947" width="16" style="115" bestFit="1" customWidth="1"/>
    <col min="7948" max="7950" width="15.5" style="115" customWidth="1"/>
    <col min="7951" max="7951" width="32.625" style="115" customWidth="1"/>
    <col min="7952" max="7952" width="14.125" style="115" bestFit="1" customWidth="1"/>
    <col min="7953" max="7953" width="22.375" style="115" customWidth="1"/>
    <col min="7954" max="7954" width="14.125" style="115" bestFit="1" customWidth="1"/>
    <col min="7955" max="8198" width="9" style="115"/>
    <col min="8199" max="8199" width="13.5" style="115" customWidth="1"/>
    <col min="8200" max="8200" width="26.125" style="115" customWidth="1"/>
    <col min="8201" max="8201" width="75.375" style="115" customWidth="1"/>
    <col min="8202" max="8202" width="14.375" style="115" customWidth="1"/>
    <col min="8203" max="8203" width="16" style="115" bestFit="1" customWidth="1"/>
    <col min="8204" max="8206" width="15.5" style="115" customWidth="1"/>
    <col min="8207" max="8207" width="32.625" style="115" customWidth="1"/>
    <col min="8208" max="8208" width="14.125" style="115" bestFit="1" customWidth="1"/>
    <col min="8209" max="8209" width="22.375" style="115" customWidth="1"/>
    <col min="8210" max="8210" width="14.125" style="115" bestFit="1" customWidth="1"/>
    <col min="8211" max="8454" width="9" style="115"/>
    <col min="8455" max="8455" width="13.5" style="115" customWidth="1"/>
    <col min="8456" max="8456" width="26.125" style="115" customWidth="1"/>
    <col min="8457" max="8457" width="75.375" style="115" customWidth="1"/>
    <col min="8458" max="8458" width="14.375" style="115" customWidth="1"/>
    <col min="8459" max="8459" width="16" style="115" bestFit="1" customWidth="1"/>
    <col min="8460" max="8462" width="15.5" style="115" customWidth="1"/>
    <col min="8463" max="8463" width="32.625" style="115" customWidth="1"/>
    <col min="8464" max="8464" width="14.125" style="115" bestFit="1" customWidth="1"/>
    <col min="8465" max="8465" width="22.375" style="115" customWidth="1"/>
    <col min="8466" max="8466" width="14.125" style="115" bestFit="1" customWidth="1"/>
    <col min="8467" max="8710" width="9" style="115"/>
    <col min="8711" max="8711" width="13.5" style="115" customWidth="1"/>
    <col min="8712" max="8712" width="26.125" style="115" customWidth="1"/>
    <col min="8713" max="8713" width="75.375" style="115" customWidth="1"/>
    <col min="8714" max="8714" width="14.375" style="115" customWidth="1"/>
    <col min="8715" max="8715" width="16" style="115" bestFit="1" customWidth="1"/>
    <col min="8716" max="8718" width="15.5" style="115" customWidth="1"/>
    <col min="8719" max="8719" width="32.625" style="115" customWidth="1"/>
    <col min="8720" max="8720" width="14.125" style="115" bestFit="1" customWidth="1"/>
    <col min="8721" max="8721" width="22.375" style="115" customWidth="1"/>
    <col min="8722" max="8722" width="14.125" style="115" bestFit="1" customWidth="1"/>
    <col min="8723" max="8966" width="9" style="115"/>
    <col min="8967" max="8967" width="13.5" style="115" customWidth="1"/>
    <col min="8968" max="8968" width="26.125" style="115" customWidth="1"/>
    <col min="8969" max="8969" width="75.375" style="115" customWidth="1"/>
    <col min="8970" max="8970" width="14.375" style="115" customWidth="1"/>
    <col min="8971" max="8971" width="16" style="115" bestFit="1" customWidth="1"/>
    <col min="8972" max="8974" width="15.5" style="115" customWidth="1"/>
    <col min="8975" max="8975" width="32.625" style="115" customWidth="1"/>
    <col min="8976" max="8976" width="14.125" style="115" bestFit="1" customWidth="1"/>
    <col min="8977" max="8977" width="22.375" style="115" customWidth="1"/>
    <col min="8978" max="8978" width="14.125" style="115" bestFit="1" customWidth="1"/>
    <col min="8979" max="9222" width="9" style="115"/>
    <col min="9223" max="9223" width="13.5" style="115" customWidth="1"/>
    <col min="9224" max="9224" width="26.125" style="115" customWidth="1"/>
    <col min="9225" max="9225" width="75.375" style="115" customWidth="1"/>
    <col min="9226" max="9226" width="14.375" style="115" customWidth="1"/>
    <col min="9227" max="9227" width="16" style="115" bestFit="1" customWidth="1"/>
    <col min="9228" max="9230" width="15.5" style="115" customWidth="1"/>
    <col min="9231" max="9231" width="32.625" style="115" customWidth="1"/>
    <col min="9232" max="9232" width="14.125" style="115" bestFit="1" customWidth="1"/>
    <col min="9233" max="9233" width="22.375" style="115" customWidth="1"/>
    <col min="9234" max="9234" width="14.125" style="115" bestFit="1" customWidth="1"/>
    <col min="9235" max="9478" width="9" style="115"/>
    <col min="9479" max="9479" width="13.5" style="115" customWidth="1"/>
    <col min="9480" max="9480" width="26.125" style="115" customWidth="1"/>
    <col min="9481" max="9481" width="75.375" style="115" customWidth="1"/>
    <col min="9482" max="9482" width="14.375" style="115" customWidth="1"/>
    <col min="9483" max="9483" width="16" style="115" bestFit="1" customWidth="1"/>
    <col min="9484" max="9486" width="15.5" style="115" customWidth="1"/>
    <col min="9487" max="9487" width="32.625" style="115" customWidth="1"/>
    <col min="9488" max="9488" width="14.125" style="115" bestFit="1" customWidth="1"/>
    <col min="9489" max="9489" width="22.375" style="115" customWidth="1"/>
    <col min="9490" max="9490" width="14.125" style="115" bestFit="1" customWidth="1"/>
    <col min="9491" max="9734" width="9" style="115"/>
    <col min="9735" max="9735" width="13.5" style="115" customWidth="1"/>
    <col min="9736" max="9736" width="26.125" style="115" customWidth="1"/>
    <col min="9737" max="9737" width="75.375" style="115" customWidth="1"/>
    <col min="9738" max="9738" width="14.375" style="115" customWidth="1"/>
    <col min="9739" max="9739" width="16" style="115" bestFit="1" customWidth="1"/>
    <col min="9740" max="9742" width="15.5" style="115" customWidth="1"/>
    <col min="9743" max="9743" width="32.625" style="115" customWidth="1"/>
    <col min="9744" max="9744" width="14.125" style="115" bestFit="1" customWidth="1"/>
    <col min="9745" max="9745" width="22.375" style="115" customWidth="1"/>
    <col min="9746" max="9746" width="14.125" style="115" bestFit="1" customWidth="1"/>
    <col min="9747" max="9990" width="9" style="115"/>
    <col min="9991" max="9991" width="13.5" style="115" customWidth="1"/>
    <col min="9992" max="9992" width="26.125" style="115" customWidth="1"/>
    <col min="9993" max="9993" width="75.375" style="115" customWidth="1"/>
    <col min="9994" max="9994" width="14.375" style="115" customWidth="1"/>
    <col min="9995" max="9995" width="16" style="115" bestFit="1" customWidth="1"/>
    <col min="9996" max="9998" width="15.5" style="115" customWidth="1"/>
    <col min="9999" max="9999" width="32.625" style="115" customWidth="1"/>
    <col min="10000" max="10000" width="14.125" style="115" bestFit="1" customWidth="1"/>
    <col min="10001" max="10001" width="22.375" style="115" customWidth="1"/>
    <col min="10002" max="10002" width="14.125" style="115" bestFit="1" customWidth="1"/>
    <col min="10003" max="10246" width="9" style="115"/>
    <col min="10247" max="10247" width="13.5" style="115" customWidth="1"/>
    <col min="10248" max="10248" width="26.125" style="115" customWidth="1"/>
    <col min="10249" max="10249" width="75.375" style="115" customWidth="1"/>
    <col min="10250" max="10250" width="14.375" style="115" customWidth="1"/>
    <col min="10251" max="10251" width="16" style="115" bestFit="1" customWidth="1"/>
    <col min="10252" max="10254" width="15.5" style="115" customWidth="1"/>
    <col min="10255" max="10255" width="32.625" style="115" customWidth="1"/>
    <col min="10256" max="10256" width="14.125" style="115" bestFit="1" customWidth="1"/>
    <col min="10257" max="10257" width="22.375" style="115" customWidth="1"/>
    <col min="10258" max="10258" width="14.125" style="115" bestFit="1" customWidth="1"/>
    <col min="10259" max="10502" width="9" style="115"/>
    <col min="10503" max="10503" width="13.5" style="115" customWidth="1"/>
    <col min="10504" max="10504" width="26.125" style="115" customWidth="1"/>
    <col min="10505" max="10505" width="75.375" style="115" customWidth="1"/>
    <col min="10506" max="10506" width="14.375" style="115" customWidth="1"/>
    <col min="10507" max="10507" width="16" style="115" bestFit="1" customWidth="1"/>
    <col min="10508" max="10510" width="15.5" style="115" customWidth="1"/>
    <col min="10511" max="10511" width="32.625" style="115" customWidth="1"/>
    <col min="10512" max="10512" width="14.125" style="115" bestFit="1" customWidth="1"/>
    <col min="10513" max="10513" width="22.375" style="115" customWidth="1"/>
    <col min="10514" max="10514" width="14.125" style="115" bestFit="1" customWidth="1"/>
    <col min="10515" max="10758" width="9" style="115"/>
    <col min="10759" max="10759" width="13.5" style="115" customWidth="1"/>
    <col min="10760" max="10760" width="26.125" style="115" customWidth="1"/>
    <col min="10761" max="10761" width="75.375" style="115" customWidth="1"/>
    <col min="10762" max="10762" width="14.375" style="115" customWidth="1"/>
    <col min="10763" max="10763" width="16" style="115" bestFit="1" customWidth="1"/>
    <col min="10764" max="10766" width="15.5" style="115" customWidth="1"/>
    <col min="10767" max="10767" width="32.625" style="115" customWidth="1"/>
    <col min="10768" max="10768" width="14.125" style="115" bestFit="1" customWidth="1"/>
    <col min="10769" max="10769" width="22.375" style="115" customWidth="1"/>
    <col min="10770" max="10770" width="14.125" style="115" bestFit="1" customWidth="1"/>
    <col min="10771" max="11014" width="9" style="115"/>
    <col min="11015" max="11015" width="13.5" style="115" customWidth="1"/>
    <col min="11016" max="11016" width="26.125" style="115" customWidth="1"/>
    <col min="11017" max="11017" width="75.375" style="115" customWidth="1"/>
    <col min="11018" max="11018" width="14.375" style="115" customWidth="1"/>
    <col min="11019" max="11019" width="16" style="115" bestFit="1" customWidth="1"/>
    <col min="11020" max="11022" width="15.5" style="115" customWidth="1"/>
    <col min="11023" max="11023" width="32.625" style="115" customWidth="1"/>
    <col min="11024" max="11024" width="14.125" style="115" bestFit="1" customWidth="1"/>
    <col min="11025" max="11025" width="22.375" style="115" customWidth="1"/>
    <col min="11026" max="11026" width="14.125" style="115" bestFit="1" customWidth="1"/>
    <col min="11027" max="11270" width="9" style="115"/>
    <col min="11271" max="11271" width="13.5" style="115" customWidth="1"/>
    <col min="11272" max="11272" width="26.125" style="115" customWidth="1"/>
    <col min="11273" max="11273" width="75.375" style="115" customWidth="1"/>
    <col min="11274" max="11274" width="14.375" style="115" customWidth="1"/>
    <col min="11275" max="11275" width="16" style="115" bestFit="1" customWidth="1"/>
    <col min="11276" max="11278" width="15.5" style="115" customWidth="1"/>
    <col min="11279" max="11279" width="32.625" style="115" customWidth="1"/>
    <col min="11280" max="11280" width="14.125" style="115" bestFit="1" customWidth="1"/>
    <col min="11281" max="11281" width="22.375" style="115" customWidth="1"/>
    <col min="11282" max="11282" width="14.125" style="115" bestFit="1" customWidth="1"/>
    <col min="11283" max="11526" width="9" style="115"/>
    <col min="11527" max="11527" width="13.5" style="115" customWidth="1"/>
    <col min="11528" max="11528" width="26.125" style="115" customWidth="1"/>
    <col min="11529" max="11529" width="75.375" style="115" customWidth="1"/>
    <col min="11530" max="11530" width="14.375" style="115" customWidth="1"/>
    <col min="11531" max="11531" width="16" style="115" bestFit="1" customWidth="1"/>
    <col min="11532" max="11534" width="15.5" style="115" customWidth="1"/>
    <col min="11535" max="11535" width="32.625" style="115" customWidth="1"/>
    <col min="11536" max="11536" width="14.125" style="115" bestFit="1" customWidth="1"/>
    <col min="11537" max="11537" width="22.375" style="115" customWidth="1"/>
    <col min="11538" max="11538" width="14.125" style="115" bestFit="1" customWidth="1"/>
    <col min="11539" max="11782" width="9" style="115"/>
    <col min="11783" max="11783" width="13.5" style="115" customWidth="1"/>
    <col min="11784" max="11784" width="26.125" style="115" customWidth="1"/>
    <col min="11785" max="11785" width="75.375" style="115" customWidth="1"/>
    <col min="11786" max="11786" width="14.375" style="115" customWidth="1"/>
    <col min="11787" max="11787" width="16" style="115" bestFit="1" customWidth="1"/>
    <col min="11788" max="11790" width="15.5" style="115" customWidth="1"/>
    <col min="11791" max="11791" width="32.625" style="115" customWidth="1"/>
    <col min="11792" max="11792" width="14.125" style="115" bestFit="1" customWidth="1"/>
    <col min="11793" max="11793" width="22.375" style="115" customWidth="1"/>
    <col min="11794" max="11794" width="14.125" style="115" bestFit="1" customWidth="1"/>
    <col min="11795" max="12038" width="9" style="115"/>
    <col min="12039" max="12039" width="13.5" style="115" customWidth="1"/>
    <col min="12040" max="12040" width="26.125" style="115" customWidth="1"/>
    <col min="12041" max="12041" width="75.375" style="115" customWidth="1"/>
    <col min="12042" max="12042" width="14.375" style="115" customWidth="1"/>
    <col min="12043" max="12043" width="16" style="115" bestFit="1" customWidth="1"/>
    <col min="12044" max="12046" width="15.5" style="115" customWidth="1"/>
    <col min="12047" max="12047" width="32.625" style="115" customWidth="1"/>
    <col min="12048" max="12048" width="14.125" style="115" bestFit="1" customWidth="1"/>
    <col min="12049" max="12049" width="22.375" style="115" customWidth="1"/>
    <col min="12050" max="12050" width="14.125" style="115" bestFit="1" customWidth="1"/>
    <col min="12051" max="12294" width="9" style="115"/>
    <col min="12295" max="12295" width="13.5" style="115" customWidth="1"/>
    <col min="12296" max="12296" width="26.125" style="115" customWidth="1"/>
    <col min="12297" max="12297" width="75.375" style="115" customWidth="1"/>
    <col min="12298" max="12298" width="14.375" style="115" customWidth="1"/>
    <col min="12299" max="12299" width="16" style="115" bestFit="1" customWidth="1"/>
    <col min="12300" max="12302" width="15.5" style="115" customWidth="1"/>
    <col min="12303" max="12303" width="32.625" style="115" customWidth="1"/>
    <col min="12304" max="12304" width="14.125" style="115" bestFit="1" customWidth="1"/>
    <col min="12305" max="12305" width="22.375" style="115" customWidth="1"/>
    <col min="12306" max="12306" width="14.125" style="115" bestFit="1" customWidth="1"/>
    <col min="12307" max="12550" width="9" style="115"/>
    <col min="12551" max="12551" width="13.5" style="115" customWidth="1"/>
    <col min="12552" max="12552" width="26.125" style="115" customWidth="1"/>
    <col min="12553" max="12553" width="75.375" style="115" customWidth="1"/>
    <col min="12554" max="12554" width="14.375" style="115" customWidth="1"/>
    <col min="12555" max="12555" width="16" style="115" bestFit="1" customWidth="1"/>
    <col min="12556" max="12558" width="15.5" style="115" customWidth="1"/>
    <col min="12559" max="12559" width="32.625" style="115" customWidth="1"/>
    <col min="12560" max="12560" width="14.125" style="115" bestFit="1" customWidth="1"/>
    <col min="12561" max="12561" width="22.375" style="115" customWidth="1"/>
    <col min="12562" max="12562" width="14.125" style="115" bestFit="1" customWidth="1"/>
    <col min="12563" max="12806" width="9" style="115"/>
    <col min="12807" max="12807" width="13.5" style="115" customWidth="1"/>
    <col min="12808" max="12808" width="26.125" style="115" customWidth="1"/>
    <col min="12809" max="12809" width="75.375" style="115" customWidth="1"/>
    <col min="12810" max="12810" width="14.375" style="115" customWidth="1"/>
    <col min="12811" max="12811" width="16" style="115" bestFit="1" customWidth="1"/>
    <col min="12812" max="12814" width="15.5" style="115" customWidth="1"/>
    <col min="12815" max="12815" width="32.625" style="115" customWidth="1"/>
    <col min="12816" max="12816" width="14.125" style="115" bestFit="1" customWidth="1"/>
    <col min="12817" max="12817" width="22.375" style="115" customWidth="1"/>
    <col min="12818" max="12818" width="14.125" style="115" bestFit="1" customWidth="1"/>
    <col min="12819" max="13062" width="9" style="115"/>
    <col min="13063" max="13063" width="13.5" style="115" customWidth="1"/>
    <col min="13064" max="13064" width="26.125" style="115" customWidth="1"/>
    <col min="13065" max="13065" width="75.375" style="115" customWidth="1"/>
    <col min="13066" max="13066" width="14.375" style="115" customWidth="1"/>
    <col min="13067" max="13067" width="16" style="115" bestFit="1" customWidth="1"/>
    <col min="13068" max="13070" width="15.5" style="115" customWidth="1"/>
    <col min="13071" max="13071" width="32.625" style="115" customWidth="1"/>
    <col min="13072" max="13072" width="14.125" style="115" bestFit="1" customWidth="1"/>
    <col min="13073" max="13073" width="22.375" style="115" customWidth="1"/>
    <col min="13074" max="13074" width="14.125" style="115" bestFit="1" customWidth="1"/>
    <col min="13075" max="13318" width="9" style="115"/>
    <col min="13319" max="13319" width="13.5" style="115" customWidth="1"/>
    <col min="13320" max="13320" width="26.125" style="115" customWidth="1"/>
    <col min="13321" max="13321" width="75.375" style="115" customWidth="1"/>
    <col min="13322" max="13322" width="14.375" style="115" customWidth="1"/>
    <col min="13323" max="13323" width="16" style="115" bestFit="1" customWidth="1"/>
    <col min="13324" max="13326" width="15.5" style="115" customWidth="1"/>
    <col min="13327" max="13327" width="32.625" style="115" customWidth="1"/>
    <col min="13328" max="13328" width="14.125" style="115" bestFit="1" customWidth="1"/>
    <col min="13329" max="13329" width="22.375" style="115" customWidth="1"/>
    <col min="13330" max="13330" width="14.125" style="115" bestFit="1" customWidth="1"/>
    <col min="13331" max="13574" width="9" style="115"/>
    <col min="13575" max="13575" width="13.5" style="115" customWidth="1"/>
    <col min="13576" max="13576" width="26.125" style="115" customWidth="1"/>
    <col min="13577" max="13577" width="75.375" style="115" customWidth="1"/>
    <col min="13578" max="13578" width="14.375" style="115" customWidth="1"/>
    <col min="13579" max="13579" width="16" style="115" bestFit="1" customWidth="1"/>
    <col min="13580" max="13582" width="15.5" style="115" customWidth="1"/>
    <col min="13583" max="13583" width="32.625" style="115" customWidth="1"/>
    <col min="13584" max="13584" width="14.125" style="115" bestFit="1" customWidth="1"/>
    <col min="13585" max="13585" width="22.375" style="115" customWidth="1"/>
    <col min="13586" max="13586" width="14.125" style="115" bestFit="1" customWidth="1"/>
    <col min="13587" max="13830" width="9" style="115"/>
    <col min="13831" max="13831" width="13.5" style="115" customWidth="1"/>
    <col min="13832" max="13832" width="26.125" style="115" customWidth="1"/>
    <col min="13833" max="13833" width="75.375" style="115" customWidth="1"/>
    <col min="13834" max="13834" width="14.375" style="115" customWidth="1"/>
    <col min="13835" max="13835" width="16" style="115" bestFit="1" customWidth="1"/>
    <col min="13836" max="13838" width="15.5" style="115" customWidth="1"/>
    <col min="13839" max="13839" width="32.625" style="115" customWidth="1"/>
    <col min="13840" max="13840" width="14.125" style="115" bestFit="1" customWidth="1"/>
    <col min="13841" max="13841" width="22.375" style="115" customWidth="1"/>
    <col min="13842" max="13842" width="14.125" style="115" bestFit="1" customWidth="1"/>
    <col min="13843" max="14086" width="9" style="115"/>
    <col min="14087" max="14087" width="13.5" style="115" customWidth="1"/>
    <col min="14088" max="14088" width="26.125" style="115" customWidth="1"/>
    <col min="14089" max="14089" width="75.375" style="115" customWidth="1"/>
    <col min="14090" max="14090" width="14.375" style="115" customWidth="1"/>
    <col min="14091" max="14091" width="16" style="115" bestFit="1" customWidth="1"/>
    <col min="14092" max="14094" width="15.5" style="115" customWidth="1"/>
    <col min="14095" max="14095" width="32.625" style="115" customWidth="1"/>
    <col min="14096" max="14096" width="14.125" style="115" bestFit="1" customWidth="1"/>
    <col min="14097" max="14097" width="22.375" style="115" customWidth="1"/>
    <col min="14098" max="14098" width="14.125" style="115" bestFit="1" customWidth="1"/>
    <col min="14099" max="14342" width="9" style="115"/>
    <col min="14343" max="14343" width="13.5" style="115" customWidth="1"/>
    <col min="14344" max="14344" width="26.125" style="115" customWidth="1"/>
    <col min="14345" max="14345" width="75.375" style="115" customWidth="1"/>
    <col min="14346" max="14346" width="14.375" style="115" customWidth="1"/>
    <col min="14347" max="14347" width="16" style="115" bestFit="1" customWidth="1"/>
    <col min="14348" max="14350" width="15.5" style="115" customWidth="1"/>
    <col min="14351" max="14351" width="32.625" style="115" customWidth="1"/>
    <col min="14352" max="14352" width="14.125" style="115" bestFit="1" customWidth="1"/>
    <col min="14353" max="14353" width="22.375" style="115" customWidth="1"/>
    <col min="14354" max="14354" width="14.125" style="115" bestFit="1" customWidth="1"/>
    <col min="14355" max="14598" width="9" style="115"/>
    <col min="14599" max="14599" width="13.5" style="115" customWidth="1"/>
    <col min="14600" max="14600" width="26.125" style="115" customWidth="1"/>
    <col min="14601" max="14601" width="75.375" style="115" customWidth="1"/>
    <col min="14602" max="14602" width="14.375" style="115" customWidth="1"/>
    <col min="14603" max="14603" width="16" style="115" bestFit="1" customWidth="1"/>
    <col min="14604" max="14606" width="15.5" style="115" customWidth="1"/>
    <col min="14607" max="14607" width="32.625" style="115" customWidth="1"/>
    <col min="14608" max="14608" width="14.125" style="115" bestFit="1" customWidth="1"/>
    <col min="14609" max="14609" width="22.375" style="115" customWidth="1"/>
    <col min="14610" max="14610" width="14.125" style="115" bestFit="1" customWidth="1"/>
    <col min="14611" max="14854" width="9" style="115"/>
    <col min="14855" max="14855" width="13.5" style="115" customWidth="1"/>
    <col min="14856" max="14856" width="26.125" style="115" customWidth="1"/>
    <col min="14857" max="14857" width="75.375" style="115" customWidth="1"/>
    <col min="14858" max="14858" width="14.375" style="115" customWidth="1"/>
    <col min="14859" max="14859" width="16" style="115" bestFit="1" customWidth="1"/>
    <col min="14860" max="14862" width="15.5" style="115" customWidth="1"/>
    <col min="14863" max="14863" width="32.625" style="115" customWidth="1"/>
    <col min="14864" max="14864" width="14.125" style="115" bestFit="1" customWidth="1"/>
    <col min="14865" max="14865" width="22.375" style="115" customWidth="1"/>
    <col min="14866" max="14866" width="14.125" style="115" bestFit="1" customWidth="1"/>
    <col min="14867" max="15110" width="9" style="115"/>
    <col min="15111" max="15111" width="13.5" style="115" customWidth="1"/>
    <col min="15112" max="15112" width="26.125" style="115" customWidth="1"/>
    <col min="15113" max="15113" width="75.375" style="115" customWidth="1"/>
    <col min="15114" max="15114" width="14.375" style="115" customWidth="1"/>
    <col min="15115" max="15115" width="16" style="115" bestFit="1" customWidth="1"/>
    <col min="15116" max="15118" width="15.5" style="115" customWidth="1"/>
    <col min="15119" max="15119" width="32.625" style="115" customWidth="1"/>
    <col min="15120" max="15120" width="14.125" style="115" bestFit="1" customWidth="1"/>
    <col min="15121" max="15121" width="22.375" style="115" customWidth="1"/>
    <col min="15122" max="15122" width="14.125" style="115" bestFit="1" customWidth="1"/>
    <col min="15123" max="15366" width="9" style="115"/>
    <col min="15367" max="15367" width="13.5" style="115" customWidth="1"/>
    <col min="15368" max="15368" width="26.125" style="115" customWidth="1"/>
    <col min="15369" max="15369" width="75.375" style="115" customWidth="1"/>
    <col min="15370" max="15370" width="14.375" style="115" customWidth="1"/>
    <col min="15371" max="15371" width="16" style="115" bestFit="1" customWidth="1"/>
    <col min="15372" max="15374" width="15.5" style="115" customWidth="1"/>
    <col min="15375" max="15375" width="32.625" style="115" customWidth="1"/>
    <col min="15376" max="15376" width="14.125" style="115" bestFit="1" customWidth="1"/>
    <col min="15377" max="15377" width="22.375" style="115" customWidth="1"/>
    <col min="15378" max="15378" width="14.125" style="115" bestFit="1" customWidth="1"/>
    <col min="15379" max="15622" width="9" style="115"/>
    <col min="15623" max="15623" width="13.5" style="115" customWidth="1"/>
    <col min="15624" max="15624" width="26.125" style="115" customWidth="1"/>
    <col min="15625" max="15625" width="75.375" style="115" customWidth="1"/>
    <col min="15626" max="15626" width="14.375" style="115" customWidth="1"/>
    <col min="15627" max="15627" width="16" style="115" bestFit="1" customWidth="1"/>
    <col min="15628" max="15630" width="15.5" style="115" customWidth="1"/>
    <col min="15631" max="15631" width="32.625" style="115" customWidth="1"/>
    <col min="15632" max="15632" width="14.125" style="115" bestFit="1" customWidth="1"/>
    <col min="15633" max="15633" width="22.375" style="115" customWidth="1"/>
    <col min="15634" max="15634" width="14.125" style="115" bestFit="1" customWidth="1"/>
    <col min="15635" max="15878" width="9" style="115"/>
    <col min="15879" max="15879" width="13.5" style="115" customWidth="1"/>
    <col min="15880" max="15880" width="26.125" style="115" customWidth="1"/>
    <col min="15881" max="15881" width="75.375" style="115" customWidth="1"/>
    <col min="15882" max="15882" width="14.375" style="115" customWidth="1"/>
    <col min="15883" max="15883" width="16" style="115" bestFit="1" customWidth="1"/>
    <col min="15884" max="15886" width="15.5" style="115" customWidth="1"/>
    <col min="15887" max="15887" width="32.625" style="115" customWidth="1"/>
    <col min="15888" max="15888" width="14.125" style="115" bestFit="1" customWidth="1"/>
    <col min="15889" max="15889" width="22.375" style="115" customWidth="1"/>
    <col min="15890" max="15890" width="14.125" style="115" bestFit="1" customWidth="1"/>
    <col min="15891" max="16134" width="9" style="115"/>
    <col min="16135" max="16135" width="13.5" style="115" customWidth="1"/>
    <col min="16136" max="16136" width="26.125" style="115" customWidth="1"/>
    <col min="16137" max="16137" width="75.375" style="115" customWidth="1"/>
    <col min="16138" max="16138" width="14.375" style="115" customWidth="1"/>
    <col min="16139" max="16139" width="16" style="115" bestFit="1" customWidth="1"/>
    <col min="16140" max="16142" width="15.5" style="115" customWidth="1"/>
    <col min="16143" max="16143" width="32.625" style="115" customWidth="1"/>
    <col min="16144" max="16144" width="14.125" style="115" bestFit="1" customWidth="1"/>
    <col min="16145" max="16145" width="22.375" style="115" customWidth="1"/>
    <col min="16146" max="16146" width="14.125" style="115" bestFit="1" customWidth="1"/>
    <col min="16147" max="16384" width="9" style="115"/>
  </cols>
  <sheetData>
    <row r="1" spans="1:17" s="167" customFormat="1" ht="18.75" x14ac:dyDescent="0.25">
      <c r="B1" s="168"/>
      <c r="C1" s="168"/>
      <c r="D1" s="168"/>
      <c r="E1" s="168"/>
      <c r="F1" s="168"/>
      <c r="G1" s="168"/>
      <c r="H1" s="168"/>
      <c r="I1" s="168"/>
      <c r="J1" s="168"/>
      <c r="K1" s="168"/>
      <c r="L1" s="168"/>
      <c r="M1" s="168"/>
      <c r="N1" s="168"/>
      <c r="O1" s="169" t="s">
        <v>441</v>
      </c>
      <c r="P1" s="229"/>
    </row>
    <row r="2" spans="1:17" s="167" customFormat="1" ht="18.75" x14ac:dyDescent="0.25">
      <c r="A2" s="341" t="s">
        <v>729</v>
      </c>
      <c r="B2" s="341"/>
      <c r="C2" s="341"/>
      <c r="D2" s="341"/>
      <c r="E2" s="341"/>
      <c r="F2" s="341"/>
      <c r="G2" s="341"/>
      <c r="H2" s="341"/>
      <c r="I2" s="341"/>
      <c r="J2" s="341"/>
      <c r="K2" s="341"/>
      <c r="L2" s="341"/>
      <c r="M2" s="341"/>
      <c r="N2" s="341"/>
      <c r="O2" s="341"/>
      <c r="P2" s="229"/>
    </row>
    <row r="3" spans="1:17" s="167" customFormat="1" ht="18.75" x14ac:dyDescent="0.25">
      <c r="A3" s="342" t="str">
        <f>'TỔNG HỢP'!A3:L3</f>
        <v>(Kèm theo Tờ trình số 180/TTr-UBND ngày 11 tháng 9 năm 2024 của UBND huyện Châu Thành)</v>
      </c>
      <c r="B3" s="342"/>
      <c r="C3" s="342"/>
      <c r="D3" s="342"/>
      <c r="E3" s="342"/>
      <c r="F3" s="342"/>
      <c r="G3" s="342"/>
      <c r="H3" s="342"/>
      <c r="I3" s="342"/>
      <c r="J3" s="342"/>
      <c r="K3" s="342"/>
      <c r="L3" s="342"/>
      <c r="M3" s="342"/>
      <c r="N3" s="342"/>
      <c r="O3" s="342"/>
      <c r="P3" s="229"/>
    </row>
    <row r="4" spans="1:17" x14ac:dyDescent="0.25">
      <c r="B4" s="170"/>
      <c r="C4" s="170"/>
      <c r="O4" s="228" t="s">
        <v>0</v>
      </c>
    </row>
    <row r="5" spans="1:17" s="171" customFormat="1" ht="18.75" x14ac:dyDescent="0.25">
      <c r="A5" s="343" t="s">
        <v>299</v>
      </c>
      <c r="B5" s="343" t="s">
        <v>2</v>
      </c>
      <c r="C5" s="343" t="s">
        <v>316</v>
      </c>
      <c r="D5" s="343" t="s">
        <v>317</v>
      </c>
      <c r="E5" s="345" t="s">
        <v>318</v>
      </c>
      <c r="F5" s="346"/>
      <c r="G5" s="346"/>
      <c r="H5" s="346"/>
      <c r="I5" s="346"/>
      <c r="J5" s="346"/>
      <c r="K5" s="346"/>
      <c r="L5" s="346"/>
      <c r="M5" s="346"/>
      <c r="N5" s="347"/>
      <c r="O5" s="343" t="s">
        <v>173</v>
      </c>
      <c r="P5" s="231"/>
    </row>
    <row r="6" spans="1:17" s="171" customFormat="1" ht="63" x14ac:dyDescent="0.25">
      <c r="A6" s="344"/>
      <c r="B6" s="344"/>
      <c r="C6" s="344"/>
      <c r="D6" s="344"/>
      <c r="E6" s="172" t="s">
        <v>319</v>
      </c>
      <c r="F6" s="172" t="s">
        <v>320</v>
      </c>
      <c r="G6" s="172" t="s">
        <v>390</v>
      </c>
      <c r="H6" s="172" t="s">
        <v>442</v>
      </c>
      <c r="I6" s="172" t="s">
        <v>321</v>
      </c>
      <c r="J6" s="172" t="s">
        <v>382</v>
      </c>
      <c r="K6" s="172" t="s">
        <v>780</v>
      </c>
      <c r="L6" s="172" t="s">
        <v>419</v>
      </c>
      <c r="M6" s="172" t="s">
        <v>322</v>
      </c>
      <c r="N6" s="172" t="s">
        <v>323</v>
      </c>
      <c r="O6" s="344"/>
      <c r="P6" s="232"/>
    </row>
    <row r="7" spans="1:17" s="174" customFormat="1" ht="12.75" x14ac:dyDescent="0.25">
      <c r="A7" s="173" t="s">
        <v>3</v>
      </c>
      <c r="B7" s="173" t="s">
        <v>4</v>
      </c>
      <c r="C7" s="173" t="s">
        <v>162</v>
      </c>
      <c r="D7" s="173" t="s">
        <v>439</v>
      </c>
      <c r="E7" s="173">
        <v>2</v>
      </c>
      <c r="F7" s="173">
        <v>3</v>
      </c>
      <c r="G7" s="173">
        <v>2</v>
      </c>
      <c r="H7" s="173">
        <v>3</v>
      </c>
      <c r="I7" s="173">
        <v>4</v>
      </c>
      <c r="J7" s="173"/>
      <c r="K7" s="173"/>
      <c r="L7" s="173"/>
      <c r="M7" s="173">
        <v>6</v>
      </c>
      <c r="N7" s="173">
        <v>5</v>
      </c>
      <c r="O7" s="173" t="s">
        <v>325</v>
      </c>
      <c r="P7" s="233"/>
    </row>
    <row r="8" spans="1:17" s="1" customFormat="1" ht="31.5" x14ac:dyDescent="0.25">
      <c r="A8" s="218">
        <v>1</v>
      </c>
      <c r="B8" s="219" t="s">
        <v>730</v>
      </c>
      <c r="C8" s="177" t="s">
        <v>731</v>
      </c>
      <c r="D8" s="28">
        <v>875700</v>
      </c>
      <c r="E8" s="28"/>
      <c r="F8" s="28"/>
      <c r="G8" s="28"/>
      <c r="H8" s="28"/>
      <c r="I8" s="28"/>
      <c r="J8" s="28"/>
      <c r="K8" s="28"/>
      <c r="L8" s="28"/>
      <c r="M8" s="28">
        <f>D8</f>
        <v>875700</v>
      </c>
      <c r="N8" s="28"/>
      <c r="O8" s="216" t="s">
        <v>732</v>
      </c>
      <c r="P8" s="234"/>
      <c r="Q8" s="175"/>
    </row>
    <row r="9" spans="1:17" s="178" customFormat="1" ht="47.25" x14ac:dyDescent="0.25">
      <c r="A9" s="218">
        <v>2</v>
      </c>
      <c r="B9" s="176" t="s">
        <v>686</v>
      </c>
      <c r="C9" s="177" t="s">
        <v>733</v>
      </c>
      <c r="D9" s="220">
        <v>48900</v>
      </c>
      <c r="E9" s="220"/>
      <c r="F9" s="220"/>
      <c r="G9" s="220"/>
      <c r="H9" s="220">
        <f>D9</f>
        <v>48900</v>
      </c>
      <c r="I9" s="220"/>
      <c r="J9" s="220"/>
      <c r="K9" s="220"/>
      <c r="L9" s="220"/>
      <c r="M9" s="220"/>
      <c r="N9" s="220"/>
      <c r="O9" s="216" t="s">
        <v>737</v>
      </c>
      <c r="P9" s="214"/>
    </row>
    <row r="10" spans="1:17" s="167" customFormat="1" ht="47.25" x14ac:dyDescent="0.25">
      <c r="A10" s="218">
        <v>3</v>
      </c>
      <c r="B10" s="221" t="s">
        <v>734</v>
      </c>
      <c r="C10" s="222" t="s">
        <v>735</v>
      </c>
      <c r="D10" s="28">
        <v>111910</v>
      </c>
      <c r="E10" s="28"/>
      <c r="F10" s="28"/>
      <c r="G10" s="28"/>
      <c r="H10" s="28">
        <f>D10</f>
        <v>111910</v>
      </c>
      <c r="I10" s="28"/>
      <c r="J10" s="28"/>
      <c r="K10" s="28"/>
      <c r="L10" s="28"/>
      <c r="M10" s="28"/>
      <c r="N10" s="28"/>
      <c r="O10" s="216" t="s">
        <v>738</v>
      </c>
      <c r="P10" s="236"/>
    </row>
    <row r="11" spans="1:17" s="167" customFormat="1" ht="72.75" customHeight="1" x14ac:dyDescent="0.25">
      <c r="A11" s="218">
        <v>4</v>
      </c>
      <c r="B11" s="221" t="s">
        <v>736</v>
      </c>
      <c r="C11" s="222" t="s">
        <v>154</v>
      </c>
      <c r="D11" s="28">
        <v>193000</v>
      </c>
      <c r="E11" s="28">
        <f>D11</f>
        <v>193000</v>
      </c>
      <c r="F11" s="28"/>
      <c r="G11" s="28"/>
      <c r="H11" s="28"/>
      <c r="I11" s="28"/>
      <c r="J11" s="28"/>
      <c r="K11" s="28"/>
      <c r="L11" s="28"/>
      <c r="M11" s="28"/>
      <c r="N11" s="28"/>
      <c r="O11" s="216" t="s">
        <v>739</v>
      </c>
      <c r="P11" s="236"/>
    </row>
    <row r="12" spans="1:17" s="167" customFormat="1" ht="37.5" customHeight="1" x14ac:dyDescent="0.25">
      <c r="A12" s="218">
        <v>5</v>
      </c>
      <c r="B12" s="225" t="s">
        <v>740</v>
      </c>
      <c r="C12" s="226" t="s">
        <v>344</v>
      </c>
      <c r="D12" s="227">
        <v>62424</v>
      </c>
      <c r="E12" s="227"/>
      <c r="F12" s="227"/>
      <c r="G12" s="227"/>
      <c r="H12" s="227">
        <f>D12</f>
        <v>62424</v>
      </c>
      <c r="I12" s="227"/>
      <c r="J12" s="227"/>
      <c r="K12" s="227"/>
      <c r="L12" s="227"/>
      <c r="M12" s="227"/>
      <c r="N12" s="227"/>
      <c r="O12" s="217" t="s">
        <v>741</v>
      </c>
      <c r="P12" s="236"/>
    </row>
    <row r="13" spans="1:17" s="167" customFormat="1" ht="31.5" x14ac:dyDescent="0.25">
      <c r="A13" s="218">
        <v>6</v>
      </c>
      <c r="B13" s="225" t="s">
        <v>742</v>
      </c>
      <c r="C13" s="226" t="s">
        <v>743</v>
      </c>
      <c r="D13" s="227">
        <v>13700</v>
      </c>
      <c r="E13" s="227"/>
      <c r="F13" s="227"/>
      <c r="G13" s="227"/>
      <c r="H13" s="227">
        <f>D13</f>
        <v>13700</v>
      </c>
      <c r="I13" s="227"/>
      <c r="J13" s="227"/>
      <c r="K13" s="227"/>
      <c r="L13" s="227"/>
      <c r="M13" s="227"/>
      <c r="N13" s="227"/>
      <c r="O13" s="217" t="s">
        <v>744</v>
      </c>
      <c r="P13" s="236"/>
    </row>
    <row r="14" spans="1:17" s="167" customFormat="1" ht="31.5" x14ac:dyDescent="0.25">
      <c r="A14" s="218">
        <v>7</v>
      </c>
      <c r="B14" s="225" t="s">
        <v>745</v>
      </c>
      <c r="C14" s="226" t="s">
        <v>332</v>
      </c>
      <c r="D14" s="227">
        <v>623000</v>
      </c>
      <c r="E14" s="227"/>
      <c r="F14" s="227"/>
      <c r="G14" s="227"/>
      <c r="H14" s="227"/>
      <c r="I14" s="227">
        <f>D14</f>
        <v>623000</v>
      </c>
      <c r="J14" s="227"/>
      <c r="K14" s="227"/>
      <c r="L14" s="227"/>
      <c r="M14" s="227"/>
      <c r="N14" s="227"/>
      <c r="O14" s="217" t="s">
        <v>746</v>
      </c>
      <c r="P14" s="236"/>
    </row>
    <row r="15" spans="1:17" s="167" customFormat="1" ht="51" customHeight="1" x14ac:dyDescent="0.25">
      <c r="A15" s="218">
        <v>8</v>
      </c>
      <c r="B15" s="221" t="s">
        <v>747</v>
      </c>
      <c r="C15" s="222" t="s">
        <v>326</v>
      </c>
      <c r="D15" s="28">
        <v>85800</v>
      </c>
      <c r="E15" s="28"/>
      <c r="F15" s="28"/>
      <c r="G15" s="28"/>
      <c r="H15" s="28">
        <f>D15</f>
        <v>85800</v>
      </c>
      <c r="I15" s="28"/>
      <c r="J15" s="28"/>
      <c r="K15" s="28"/>
      <c r="L15" s="28"/>
      <c r="M15" s="28"/>
      <c r="N15" s="28"/>
      <c r="O15" s="216" t="s">
        <v>748</v>
      </c>
      <c r="P15" s="240"/>
    </row>
    <row r="16" spans="1:17" s="167" customFormat="1" ht="31.5" x14ac:dyDescent="0.25">
      <c r="A16" s="218">
        <v>9</v>
      </c>
      <c r="B16" s="221" t="s">
        <v>750</v>
      </c>
      <c r="C16" s="222" t="s">
        <v>77</v>
      </c>
      <c r="D16" s="28">
        <v>41800</v>
      </c>
      <c r="E16" s="28"/>
      <c r="F16" s="28"/>
      <c r="G16" s="28"/>
      <c r="H16" s="28">
        <f>D16</f>
        <v>41800</v>
      </c>
      <c r="I16" s="28"/>
      <c r="J16" s="28"/>
      <c r="K16" s="28"/>
      <c r="L16" s="28"/>
      <c r="M16" s="28"/>
      <c r="N16" s="28"/>
      <c r="O16" s="216" t="s">
        <v>749</v>
      </c>
      <c r="P16" s="236"/>
    </row>
    <row r="17" spans="1:17" s="167" customFormat="1" ht="31.5" x14ac:dyDescent="0.25">
      <c r="A17" s="218">
        <v>10</v>
      </c>
      <c r="B17" s="221" t="s">
        <v>751</v>
      </c>
      <c r="C17" s="222" t="s">
        <v>345</v>
      </c>
      <c r="D17" s="28">
        <v>117000</v>
      </c>
      <c r="E17" s="28"/>
      <c r="F17" s="28">
        <f>D17</f>
        <v>117000</v>
      </c>
      <c r="G17" s="28"/>
      <c r="H17" s="28"/>
      <c r="I17" s="28"/>
      <c r="J17" s="28"/>
      <c r="K17" s="28"/>
      <c r="L17" s="28"/>
      <c r="M17" s="28"/>
      <c r="N17" s="28"/>
      <c r="O17" s="216" t="s">
        <v>752</v>
      </c>
      <c r="P17" s="236"/>
    </row>
    <row r="18" spans="1:17" s="167" customFormat="1" ht="31.5" x14ac:dyDescent="0.25">
      <c r="A18" s="218">
        <v>11</v>
      </c>
      <c r="B18" s="225" t="s">
        <v>753</v>
      </c>
      <c r="C18" s="222" t="s">
        <v>361</v>
      </c>
      <c r="D18" s="227">
        <v>89000</v>
      </c>
      <c r="E18" s="227"/>
      <c r="F18" s="227"/>
      <c r="G18" s="227"/>
      <c r="H18" s="227"/>
      <c r="I18" s="227">
        <f>D18</f>
        <v>89000</v>
      </c>
      <c r="J18" s="227"/>
      <c r="K18" s="227"/>
      <c r="L18" s="227"/>
      <c r="M18" s="227"/>
      <c r="N18" s="227"/>
      <c r="O18" s="217" t="s">
        <v>754</v>
      </c>
      <c r="P18" s="236"/>
    </row>
    <row r="19" spans="1:17" s="167" customFormat="1" ht="25.5" x14ac:dyDescent="0.25">
      <c r="A19" s="218">
        <v>12</v>
      </c>
      <c r="B19" s="225" t="s">
        <v>755</v>
      </c>
      <c r="C19" s="226" t="s">
        <v>756</v>
      </c>
      <c r="D19" s="227">
        <v>21392</v>
      </c>
      <c r="E19" s="227"/>
      <c r="F19" s="227"/>
      <c r="G19" s="227"/>
      <c r="H19" s="227"/>
      <c r="I19" s="227">
        <f>D19</f>
        <v>21392</v>
      </c>
      <c r="J19" s="227"/>
      <c r="K19" s="227"/>
      <c r="L19" s="227"/>
      <c r="M19" s="227"/>
      <c r="N19" s="227"/>
      <c r="O19" s="217" t="s">
        <v>757</v>
      </c>
      <c r="P19" s="236"/>
    </row>
    <row r="20" spans="1:17" s="167" customFormat="1" ht="25.5" x14ac:dyDescent="0.25">
      <c r="A20" s="218">
        <v>13</v>
      </c>
      <c r="B20" s="225" t="s">
        <v>758</v>
      </c>
      <c r="C20" s="226" t="s">
        <v>759</v>
      </c>
      <c r="D20" s="227">
        <v>127400</v>
      </c>
      <c r="E20" s="227"/>
      <c r="F20" s="227"/>
      <c r="G20" s="227"/>
      <c r="H20" s="227">
        <f>D20</f>
        <v>127400</v>
      </c>
      <c r="I20" s="227"/>
      <c r="J20" s="227"/>
      <c r="K20" s="227"/>
      <c r="L20" s="227"/>
      <c r="M20" s="227"/>
      <c r="N20" s="227"/>
      <c r="O20" s="217" t="s">
        <v>760</v>
      </c>
      <c r="P20" s="236"/>
    </row>
    <row r="21" spans="1:17" s="167" customFormat="1" ht="31.5" x14ac:dyDescent="0.25">
      <c r="A21" s="218">
        <v>14</v>
      </c>
      <c r="B21" s="225" t="s">
        <v>761</v>
      </c>
      <c r="C21" s="226" t="s">
        <v>332</v>
      </c>
      <c r="D21" s="227">
        <v>796000</v>
      </c>
      <c r="E21" s="227"/>
      <c r="F21" s="227"/>
      <c r="G21" s="227"/>
      <c r="H21" s="227"/>
      <c r="I21" s="227">
        <f>D21</f>
        <v>796000</v>
      </c>
      <c r="J21" s="227"/>
      <c r="K21" s="227"/>
      <c r="L21" s="227"/>
      <c r="M21" s="227"/>
      <c r="N21" s="227"/>
      <c r="O21" s="217" t="s">
        <v>762</v>
      </c>
      <c r="P21" s="236"/>
    </row>
    <row r="22" spans="1:17" s="167" customFormat="1" ht="71.25" customHeight="1" x14ac:dyDescent="0.25">
      <c r="A22" s="218">
        <v>15</v>
      </c>
      <c r="B22" s="225" t="s">
        <v>763</v>
      </c>
      <c r="C22" s="226" t="s">
        <v>110</v>
      </c>
      <c r="D22" s="227">
        <v>93000</v>
      </c>
      <c r="E22" s="227"/>
      <c r="F22" s="227"/>
      <c r="G22" s="227"/>
      <c r="H22" s="227"/>
      <c r="I22" s="227">
        <f>D22</f>
        <v>93000</v>
      </c>
      <c r="J22" s="227"/>
      <c r="K22" s="227"/>
      <c r="L22" s="227"/>
      <c r="M22" s="227"/>
      <c r="N22" s="227"/>
      <c r="O22" s="217" t="s">
        <v>764</v>
      </c>
      <c r="P22" s="236"/>
    </row>
    <row r="23" spans="1:17" s="167" customFormat="1" ht="31.5" x14ac:dyDescent="0.25">
      <c r="A23" s="218">
        <v>16</v>
      </c>
      <c r="B23" s="225" t="s">
        <v>765</v>
      </c>
      <c r="C23" s="226" t="s">
        <v>766</v>
      </c>
      <c r="D23" s="227">
        <v>50000</v>
      </c>
      <c r="E23" s="227"/>
      <c r="F23" s="227"/>
      <c r="G23" s="227"/>
      <c r="H23" s="227"/>
      <c r="I23" s="227">
        <f>D23</f>
        <v>50000</v>
      </c>
      <c r="J23" s="227"/>
      <c r="K23" s="227"/>
      <c r="L23" s="227"/>
      <c r="M23" s="227"/>
      <c r="N23" s="227"/>
      <c r="O23" s="217" t="s">
        <v>767</v>
      </c>
      <c r="P23" s="236"/>
    </row>
    <row r="24" spans="1:17" s="167" customFormat="1" ht="31.5" x14ac:dyDescent="0.25">
      <c r="A24" s="218">
        <v>17</v>
      </c>
      <c r="B24" s="225" t="s">
        <v>768</v>
      </c>
      <c r="C24" s="226" t="s">
        <v>769</v>
      </c>
      <c r="D24" s="227">
        <v>143000</v>
      </c>
      <c r="E24" s="227"/>
      <c r="F24" s="227"/>
      <c r="G24" s="227"/>
      <c r="H24" s="227"/>
      <c r="I24" s="227"/>
      <c r="J24" s="227"/>
      <c r="K24" s="227"/>
      <c r="L24" s="227">
        <f>D24</f>
        <v>143000</v>
      </c>
      <c r="M24" s="227"/>
      <c r="N24" s="227"/>
      <c r="O24" s="217" t="s">
        <v>770</v>
      </c>
      <c r="P24" s="236"/>
    </row>
    <row r="25" spans="1:17" s="167" customFormat="1" ht="51.75" customHeight="1" x14ac:dyDescent="0.25">
      <c r="A25" s="218">
        <v>18</v>
      </c>
      <c r="B25" s="225" t="s">
        <v>771</v>
      </c>
      <c r="C25" s="226" t="s">
        <v>252</v>
      </c>
      <c r="D25" s="227">
        <v>9900</v>
      </c>
      <c r="E25" s="227"/>
      <c r="F25" s="227"/>
      <c r="G25" s="227"/>
      <c r="H25" s="227"/>
      <c r="I25" s="227"/>
      <c r="J25" s="227"/>
      <c r="K25" s="227"/>
      <c r="L25" s="227"/>
      <c r="M25" s="227"/>
      <c r="N25" s="227">
        <f>D25</f>
        <v>9900</v>
      </c>
      <c r="O25" s="217" t="s">
        <v>772</v>
      </c>
      <c r="P25" s="236"/>
    </row>
    <row r="26" spans="1:17" s="167" customFormat="1" ht="54" customHeight="1" x14ac:dyDescent="0.25">
      <c r="A26" s="218">
        <v>19</v>
      </c>
      <c r="B26" s="225" t="s">
        <v>773</v>
      </c>
      <c r="C26" s="226" t="s">
        <v>774</v>
      </c>
      <c r="D26" s="227">
        <v>54100</v>
      </c>
      <c r="E26" s="227"/>
      <c r="F26" s="227"/>
      <c r="G26" s="227"/>
      <c r="H26" s="227"/>
      <c r="I26" s="227">
        <f>D26</f>
        <v>54100</v>
      </c>
      <c r="J26" s="227"/>
      <c r="K26" s="227"/>
      <c r="L26" s="227"/>
      <c r="M26" s="227"/>
      <c r="N26" s="227"/>
      <c r="O26" s="217" t="s">
        <v>775</v>
      </c>
      <c r="P26" s="236"/>
    </row>
    <row r="27" spans="1:17" s="1" customFormat="1" ht="36.75" customHeight="1" x14ac:dyDescent="0.25">
      <c r="A27" s="218">
        <v>20</v>
      </c>
      <c r="B27" s="219" t="s">
        <v>776</v>
      </c>
      <c r="C27" s="177" t="s">
        <v>777</v>
      </c>
      <c r="D27" s="28">
        <v>420500</v>
      </c>
      <c r="E27" s="28"/>
      <c r="F27" s="28"/>
      <c r="G27" s="28"/>
      <c r="H27" s="28"/>
      <c r="I27" s="28">
        <f>D27</f>
        <v>420500</v>
      </c>
      <c r="J27" s="28"/>
      <c r="K27" s="28"/>
      <c r="L27" s="28"/>
      <c r="M27" s="28"/>
      <c r="N27" s="28"/>
      <c r="O27" s="216" t="s">
        <v>778</v>
      </c>
      <c r="P27" s="234"/>
      <c r="Q27" s="175"/>
    </row>
    <row r="28" spans="1:17" s="1" customFormat="1" ht="36.75" customHeight="1" x14ac:dyDescent="0.25">
      <c r="A28" s="218">
        <v>21</v>
      </c>
      <c r="B28" s="324" t="s">
        <v>779</v>
      </c>
      <c r="C28" s="325" t="s">
        <v>769</v>
      </c>
      <c r="D28" s="326">
        <v>56600</v>
      </c>
      <c r="E28" s="326"/>
      <c r="F28" s="326"/>
      <c r="G28" s="326"/>
      <c r="H28" s="326"/>
      <c r="I28" s="326"/>
      <c r="J28" s="326"/>
      <c r="K28" s="326">
        <f>D28</f>
        <v>56600</v>
      </c>
      <c r="L28" s="326"/>
      <c r="M28" s="326"/>
      <c r="N28" s="326"/>
      <c r="O28" s="327"/>
      <c r="P28" s="234"/>
      <c r="Q28" s="175"/>
    </row>
    <row r="29" spans="1:17" s="175" customFormat="1" ht="16.5" x14ac:dyDescent="0.25">
      <c r="A29" s="180"/>
      <c r="B29" s="181" t="s">
        <v>327</v>
      </c>
      <c r="C29" s="182"/>
      <c r="D29" s="183">
        <f>SUM(D8:D28)</f>
        <v>4034126</v>
      </c>
      <c r="E29" s="183">
        <f t="shared" ref="E29:N29" si="0">SUM(E8:E28)</f>
        <v>193000</v>
      </c>
      <c r="F29" s="183">
        <f t="shared" si="0"/>
        <v>117000</v>
      </c>
      <c r="G29" s="183">
        <f t="shared" si="0"/>
        <v>0</v>
      </c>
      <c r="H29" s="183">
        <f t="shared" si="0"/>
        <v>491934</v>
      </c>
      <c r="I29" s="183">
        <f t="shared" si="0"/>
        <v>2146992</v>
      </c>
      <c r="J29" s="183">
        <f t="shared" si="0"/>
        <v>0</v>
      </c>
      <c r="K29" s="183">
        <f t="shared" si="0"/>
        <v>56600</v>
      </c>
      <c r="L29" s="183">
        <f t="shared" si="0"/>
        <v>143000</v>
      </c>
      <c r="M29" s="183">
        <f t="shared" si="0"/>
        <v>875700</v>
      </c>
      <c r="N29" s="183">
        <f t="shared" si="0"/>
        <v>9900</v>
      </c>
      <c r="O29" s="184"/>
      <c r="P29" s="238"/>
    </row>
    <row r="30" spans="1:17" x14ac:dyDescent="0.25">
      <c r="D30" s="145">
        <f>'TỔNG HỢP'!D15-D29</f>
        <v>0</v>
      </c>
      <c r="E30" s="145">
        <f>D29-SUM(E29:N29)</f>
        <v>0</v>
      </c>
      <c r="F30" s="145"/>
      <c r="G30" s="145"/>
      <c r="H30" s="145"/>
      <c r="I30" s="145"/>
      <c r="J30" s="145"/>
      <c r="K30" s="145"/>
      <c r="L30" s="145"/>
      <c r="M30" s="145"/>
      <c r="N30" s="145"/>
      <c r="O30" s="156"/>
      <c r="P30" s="239"/>
    </row>
    <row r="32" spans="1:17" s="167" customFormat="1" ht="18.75" x14ac:dyDescent="0.25">
      <c r="P32" s="229"/>
    </row>
    <row r="33" spans="2:16" s="167" customFormat="1" ht="18.75" x14ac:dyDescent="0.25">
      <c r="P33" s="229"/>
    </row>
    <row r="34" spans="2:16" x14ac:dyDescent="0.25">
      <c r="B34" s="159"/>
      <c r="D34" s="156"/>
    </row>
    <row r="35" spans="2:16" x14ac:dyDescent="0.25">
      <c r="B35" s="159"/>
      <c r="D35" s="156"/>
    </row>
    <row r="36" spans="2:16" x14ac:dyDescent="0.25">
      <c r="B36" s="159"/>
      <c r="D36" s="156"/>
    </row>
    <row r="37" spans="2:16" x14ac:dyDescent="0.25">
      <c r="B37" s="159"/>
      <c r="D37" s="156"/>
    </row>
    <row r="38" spans="2:16" x14ac:dyDescent="0.25">
      <c r="B38" s="159"/>
      <c r="D38" s="156"/>
    </row>
    <row r="39" spans="2:16" x14ac:dyDescent="0.25">
      <c r="B39" s="159"/>
      <c r="D39" s="156"/>
    </row>
    <row r="40" spans="2:16" x14ac:dyDescent="0.25">
      <c r="B40" s="159"/>
      <c r="D40" s="156"/>
    </row>
    <row r="41" spans="2:16" x14ac:dyDescent="0.25">
      <c r="B41" s="159"/>
      <c r="D41" s="156"/>
    </row>
    <row r="42" spans="2:16" x14ac:dyDescent="0.25">
      <c r="B42" s="159"/>
      <c r="D42" s="156"/>
    </row>
    <row r="43" spans="2:16" x14ac:dyDescent="0.25">
      <c r="B43" s="159"/>
      <c r="D43" s="156"/>
    </row>
    <row r="44" spans="2:16" x14ac:dyDescent="0.25">
      <c r="B44" s="159"/>
      <c r="D44" s="156"/>
    </row>
    <row r="45" spans="2:16" x14ac:dyDescent="0.25">
      <c r="B45" s="159"/>
      <c r="D45" s="156"/>
    </row>
    <row r="46" spans="2:16" x14ac:dyDescent="0.25">
      <c r="B46" s="159"/>
      <c r="D46" s="156"/>
    </row>
    <row r="47" spans="2:16" x14ac:dyDescent="0.25">
      <c r="B47" s="159"/>
      <c r="D47" s="156"/>
    </row>
    <row r="48" spans="2:16" x14ac:dyDescent="0.25">
      <c r="B48" s="159"/>
      <c r="D48" s="156"/>
    </row>
    <row r="49" spans="2:2" x14ac:dyDescent="0.25">
      <c r="B49" s="159"/>
    </row>
    <row r="50" spans="2:2" x14ac:dyDescent="0.25">
      <c r="B50" s="159"/>
    </row>
    <row r="51" spans="2:2" x14ac:dyDescent="0.25">
      <c r="B51" s="159"/>
    </row>
    <row r="52" spans="2:2" x14ac:dyDescent="0.25">
      <c r="B52" s="159"/>
    </row>
    <row r="53" spans="2:2" x14ac:dyDescent="0.25">
      <c r="B53" s="159"/>
    </row>
    <row r="54" spans="2:2" x14ac:dyDescent="0.25">
      <c r="B54" s="159"/>
    </row>
    <row r="55" spans="2:2" x14ac:dyDescent="0.25">
      <c r="B55" s="159"/>
    </row>
    <row r="56" spans="2:2" x14ac:dyDescent="0.25">
      <c r="B56" s="159"/>
    </row>
  </sheetData>
  <mergeCells count="8">
    <mergeCell ref="A2:O2"/>
    <mergeCell ref="A3:O3"/>
    <mergeCell ref="A5:A6"/>
    <mergeCell ref="B5:B6"/>
    <mergeCell ref="C5:C6"/>
    <mergeCell ref="D5:D6"/>
    <mergeCell ref="E5:N5"/>
    <mergeCell ref="O5:O6"/>
  </mergeCells>
  <pageMargins left="0" right="0" top="0.4" bottom="0" header="0.24" footer="0.3"/>
  <pageSetup paperSize="9" scale="78" orientation="landscape"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Q98"/>
  <sheetViews>
    <sheetView zoomScale="80" zoomScaleNormal="80" workbookViewId="0">
      <selection activeCell="A4" sqref="A4"/>
    </sheetView>
  </sheetViews>
  <sheetFormatPr defaultRowHeight="15.75" x14ac:dyDescent="0.25"/>
  <cols>
    <col min="1" max="1" width="4.875" style="115" bestFit="1" customWidth="1"/>
    <col min="2" max="2" width="46.25" style="115" customWidth="1"/>
    <col min="3" max="3" width="19.75" style="115" customWidth="1"/>
    <col min="4" max="4" width="11.875" style="115" customWidth="1"/>
    <col min="5" max="5" width="9.75" style="115" customWidth="1"/>
    <col min="6" max="6" width="9.625" style="115" customWidth="1"/>
    <col min="7" max="7" width="10.625" style="115" hidden="1" customWidth="1"/>
    <col min="8" max="8" width="10" style="115" customWidth="1"/>
    <col min="9" max="9" width="10.625" style="115" customWidth="1"/>
    <col min="10" max="10" width="9.875" style="115" hidden="1" customWidth="1"/>
    <col min="11" max="12" width="9.875" style="115" customWidth="1"/>
    <col min="13" max="13" width="8.625" style="115" customWidth="1"/>
    <col min="14" max="14" width="11" style="115" customWidth="1"/>
    <col min="15" max="15" width="13.875" style="115" customWidth="1"/>
    <col min="16" max="16" width="11.5" style="230" bestFit="1" customWidth="1"/>
    <col min="17" max="17" width="22.375" style="115" customWidth="1"/>
    <col min="18" max="18" width="14.125" style="115" bestFit="1" customWidth="1"/>
    <col min="19" max="262" width="9" style="115"/>
    <col min="263" max="263" width="13.5" style="115" customWidth="1"/>
    <col min="264" max="264" width="26.125" style="115" customWidth="1"/>
    <col min="265" max="265" width="75.375" style="115" customWidth="1"/>
    <col min="266" max="266" width="14.375" style="115" customWidth="1"/>
    <col min="267" max="267" width="16" style="115" bestFit="1" customWidth="1"/>
    <col min="268" max="270" width="15.5" style="115" customWidth="1"/>
    <col min="271" max="271" width="32.625" style="115" customWidth="1"/>
    <col min="272" max="272" width="14.125" style="115" bestFit="1" customWidth="1"/>
    <col min="273" max="273" width="22.375" style="115" customWidth="1"/>
    <col min="274" max="274" width="14.125" style="115" bestFit="1" customWidth="1"/>
    <col min="275" max="518" width="9" style="115"/>
    <col min="519" max="519" width="13.5" style="115" customWidth="1"/>
    <col min="520" max="520" width="26.125" style="115" customWidth="1"/>
    <col min="521" max="521" width="75.375" style="115" customWidth="1"/>
    <col min="522" max="522" width="14.375" style="115" customWidth="1"/>
    <col min="523" max="523" width="16" style="115" bestFit="1" customWidth="1"/>
    <col min="524" max="526" width="15.5" style="115" customWidth="1"/>
    <col min="527" max="527" width="32.625" style="115" customWidth="1"/>
    <col min="528" max="528" width="14.125" style="115" bestFit="1" customWidth="1"/>
    <col min="529" max="529" width="22.375" style="115" customWidth="1"/>
    <col min="530" max="530" width="14.125" style="115" bestFit="1" customWidth="1"/>
    <col min="531" max="774" width="9" style="115"/>
    <col min="775" max="775" width="13.5" style="115" customWidth="1"/>
    <col min="776" max="776" width="26.125" style="115" customWidth="1"/>
    <col min="777" max="777" width="75.375" style="115" customWidth="1"/>
    <col min="778" max="778" width="14.375" style="115" customWidth="1"/>
    <col min="779" max="779" width="16" style="115" bestFit="1" customWidth="1"/>
    <col min="780" max="782" width="15.5" style="115" customWidth="1"/>
    <col min="783" max="783" width="32.625" style="115" customWidth="1"/>
    <col min="784" max="784" width="14.125" style="115" bestFit="1" customWidth="1"/>
    <col min="785" max="785" width="22.375" style="115" customWidth="1"/>
    <col min="786" max="786" width="14.125" style="115" bestFit="1" customWidth="1"/>
    <col min="787" max="1030" width="9" style="115"/>
    <col min="1031" max="1031" width="13.5" style="115" customWidth="1"/>
    <col min="1032" max="1032" width="26.125" style="115" customWidth="1"/>
    <col min="1033" max="1033" width="75.375" style="115" customWidth="1"/>
    <col min="1034" max="1034" width="14.375" style="115" customWidth="1"/>
    <col min="1035" max="1035" width="16" style="115" bestFit="1" customWidth="1"/>
    <col min="1036" max="1038" width="15.5" style="115" customWidth="1"/>
    <col min="1039" max="1039" width="32.625" style="115" customWidth="1"/>
    <col min="1040" max="1040" width="14.125" style="115" bestFit="1" customWidth="1"/>
    <col min="1041" max="1041" width="22.375" style="115" customWidth="1"/>
    <col min="1042" max="1042" width="14.125" style="115" bestFit="1" customWidth="1"/>
    <col min="1043" max="1286" width="9" style="115"/>
    <col min="1287" max="1287" width="13.5" style="115" customWidth="1"/>
    <col min="1288" max="1288" width="26.125" style="115" customWidth="1"/>
    <col min="1289" max="1289" width="75.375" style="115" customWidth="1"/>
    <col min="1290" max="1290" width="14.375" style="115" customWidth="1"/>
    <col min="1291" max="1291" width="16" style="115" bestFit="1" customWidth="1"/>
    <col min="1292" max="1294" width="15.5" style="115" customWidth="1"/>
    <col min="1295" max="1295" width="32.625" style="115" customWidth="1"/>
    <col min="1296" max="1296" width="14.125" style="115" bestFit="1" customWidth="1"/>
    <col min="1297" max="1297" width="22.375" style="115" customWidth="1"/>
    <col min="1298" max="1298" width="14.125" style="115" bestFit="1" customWidth="1"/>
    <col min="1299" max="1542" width="9" style="115"/>
    <col min="1543" max="1543" width="13.5" style="115" customWidth="1"/>
    <col min="1544" max="1544" width="26.125" style="115" customWidth="1"/>
    <col min="1545" max="1545" width="75.375" style="115" customWidth="1"/>
    <col min="1546" max="1546" width="14.375" style="115" customWidth="1"/>
    <col min="1547" max="1547" width="16" style="115" bestFit="1" customWidth="1"/>
    <col min="1548" max="1550" width="15.5" style="115" customWidth="1"/>
    <col min="1551" max="1551" width="32.625" style="115" customWidth="1"/>
    <col min="1552" max="1552" width="14.125" style="115" bestFit="1" customWidth="1"/>
    <col min="1553" max="1553" width="22.375" style="115" customWidth="1"/>
    <col min="1554" max="1554" width="14.125" style="115" bestFit="1" customWidth="1"/>
    <col min="1555" max="1798" width="9" style="115"/>
    <col min="1799" max="1799" width="13.5" style="115" customWidth="1"/>
    <col min="1800" max="1800" width="26.125" style="115" customWidth="1"/>
    <col min="1801" max="1801" width="75.375" style="115" customWidth="1"/>
    <col min="1802" max="1802" width="14.375" style="115" customWidth="1"/>
    <col min="1803" max="1803" width="16" style="115" bestFit="1" customWidth="1"/>
    <col min="1804" max="1806" width="15.5" style="115" customWidth="1"/>
    <col min="1807" max="1807" width="32.625" style="115" customWidth="1"/>
    <col min="1808" max="1808" width="14.125" style="115" bestFit="1" customWidth="1"/>
    <col min="1809" max="1809" width="22.375" style="115" customWidth="1"/>
    <col min="1810" max="1810" width="14.125" style="115" bestFit="1" customWidth="1"/>
    <col min="1811" max="2054" width="9" style="115"/>
    <col min="2055" max="2055" width="13.5" style="115" customWidth="1"/>
    <col min="2056" max="2056" width="26.125" style="115" customWidth="1"/>
    <col min="2057" max="2057" width="75.375" style="115" customWidth="1"/>
    <col min="2058" max="2058" width="14.375" style="115" customWidth="1"/>
    <col min="2059" max="2059" width="16" style="115" bestFit="1" customWidth="1"/>
    <col min="2060" max="2062" width="15.5" style="115" customWidth="1"/>
    <col min="2063" max="2063" width="32.625" style="115" customWidth="1"/>
    <col min="2064" max="2064" width="14.125" style="115" bestFit="1" customWidth="1"/>
    <col min="2065" max="2065" width="22.375" style="115" customWidth="1"/>
    <col min="2066" max="2066" width="14.125" style="115" bestFit="1" customWidth="1"/>
    <col min="2067" max="2310" width="9" style="115"/>
    <col min="2311" max="2311" width="13.5" style="115" customWidth="1"/>
    <col min="2312" max="2312" width="26.125" style="115" customWidth="1"/>
    <col min="2313" max="2313" width="75.375" style="115" customWidth="1"/>
    <col min="2314" max="2314" width="14.375" style="115" customWidth="1"/>
    <col min="2315" max="2315" width="16" style="115" bestFit="1" customWidth="1"/>
    <col min="2316" max="2318" width="15.5" style="115" customWidth="1"/>
    <col min="2319" max="2319" width="32.625" style="115" customWidth="1"/>
    <col min="2320" max="2320" width="14.125" style="115" bestFit="1" customWidth="1"/>
    <col min="2321" max="2321" width="22.375" style="115" customWidth="1"/>
    <col min="2322" max="2322" width="14.125" style="115" bestFit="1" customWidth="1"/>
    <col min="2323" max="2566" width="9" style="115"/>
    <col min="2567" max="2567" width="13.5" style="115" customWidth="1"/>
    <col min="2568" max="2568" width="26.125" style="115" customWidth="1"/>
    <col min="2569" max="2569" width="75.375" style="115" customWidth="1"/>
    <col min="2570" max="2570" width="14.375" style="115" customWidth="1"/>
    <col min="2571" max="2571" width="16" style="115" bestFit="1" customWidth="1"/>
    <col min="2572" max="2574" width="15.5" style="115" customWidth="1"/>
    <col min="2575" max="2575" width="32.625" style="115" customWidth="1"/>
    <col min="2576" max="2576" width="14.125" style="115" bestFit="1" customWidth="1"/>
    <col min="2577" max="2577" width="22.375" style="115" customWidth="1"/>
    <col min="2578" max="2578" width="14.125" style="115" bestFit="1" customWidth="1"/>
    <col min="2579" max="2822" width="9" style="115"/>
    <col min="2823" max="2823" width="13.5" style="115" customWidth="1"/>
    <col min="2824" max="2824" width="26.125" style="115" customWidth="1"/>
    <col min="2825" max="2825" width="75.375" style="115" customWidth="1"/>
    <col min="2826" max="2826" width="14.375" style="115" customWidth="1"/>
    <col min="2827" max="2827" width="16" style="115" bestFit="1" customWidth="1"/>
    <col min="2828" max="2830" width="15.5" style="115" customWidth="1"/>
    <col min="2831" max="2831" width="32.625" style="115" customWidth="1"/>
    <col min="2832" max="2832" width="14.125" style="115" bestFit="1" customWidth="1"/>
    <col min="2833" max="2833" width="22.375" style="115" customWidth="1"/>
    <col min="2834" max="2834" width="14.125" style="115" bestFit="1" customWidth="1"/>
    <col min="2835" max="3078" width="9" style="115"/>
    <col min="3079" max="3079" width="13.5" style="115" customWidth="1"/>
    <col min="3080" max="3080" width="26.125" style="115" customWidth="1"/>
    <col min="3081" max="3081" width="75.375" style="115" customWidth="1"/>
    <col min="3082" max="3082" width="14.375" style="115" customWidth="1"/>
    <col min="3083" max="3083" width="16" style="115" bestFit="1" customWidth="1"/>
    <col min="3084" max="3086" width="15.5" style="115" customWidth="1"/>
    <col min="3087" max="3087" width="32.625" style="115" customWidth="1"/>
    <col min="3088" max="3088" width="14.125" style="115" bestFit="1" customWidth="1"/>
    <col min="3089" max="3089" width="22.375" style="115" customWidth="1"/>
    <col min="3090" max="3090" width="14.125" style="115" bestFit="1" customWidth="1"/>
    <col min="3091" max="3334" width="9" style="115"/>
    <col min="3335" max="3335" width="13.5" style="115" customWidth="1"/>
    <col min="3336" max="3336" width="26.125" style="115" customWidth="1"/>
    <col min="3337" max="3337" width="75.375" style="115" customWidth="1"/>
    <col min="3338" max="3338" width="14.375" style="115" customWidth="1"/>
    <col min="3339" max="3339" width="16" style="115" bestFit="1" customWidth="1"/>
    <col min="3340" max="3342" width="15.5" style="115" customWidth="1"/>
    <col min="3343" max="3343" width="32.625" style="115" customWidth="1"/>
    <col min="3344" max="3344" width="14.125" style="115" bestFit="1" customWidth="1"/>
    <col min="3345" max="3345" width="22.375" style="115" customWidth="1"/>
    <col min="3346" max="3346" width="14.125" style="115" bestFit="1" customWidth="1"/>
    <col min="3347" max="3590" width="9" style="115"/>
    <col min="3591" max="3591" width="13.5" style="115" customWidth="1"/>
    <col min="3592" max="3592" width="26.125" style="115" customWidth="1"/>
    <col min="3593" max="3593" width="75.375" style="115" customWidth="1"/>
    <col min="3594" max="3594" width="14.375" style="115" customWidth="1"/>
    <col min="3595" max="3595" width="16" style="115" bestFit="1" customWidth="1"/>
    <col min="3596" max="3598" width="15.5" style="115" customWidth="1"/>
    <col min="3599" max="3599" width="32.625" style="115" customWidth="1"/>
    <col min="3600" max="3600" width="14.125" style="115" bestFit="1" customWidth="1"/>
    <col min="3601" max="3601" width="22.375" style="115" customWidth="1"/>
    <col min="3602" max="3602" width="14.125" style="115" bestFit="1" customWidth="1"/>
    <col min="3603" max="3846" width="9" style="115"/>
    <col min="3847" max="3847" width="13.5" style="115" customWidth="1"/>
    <col min="3848" max="3848" width="26.125" style="115" customWidth="1"/>
    <col min="3849" max="3849" width="75.375" style="115" customWidth="1"/>
    <col min="3850" max="3850" width="14.375" style="115" customWidth="1"/>
    <col min="3851" max="3851" width="16" style="115" bestFit="1" customWidth="1"/>
    <col min="3852" max="3854" width="15.5" style="115" customWidth="1"/>
    <col min="3855" max="3855" width="32.625" style="115" customWidth="1"/>
    <col min="3856" max="3856" width="14.125" style="115" bestFit="1" customWidth="1"/>
    <col min="3857" max="3857" width="22.375" style="115" customWidth="1"/>
    <col min="3858" max="3858" width="14.125" style="115" bestFit="1" customWidth="1"/>
    <col min="3859" max="4102" width="9" style="115"/>
    <col min="4103" max="4103" width="13.5" style="115" customWidth="1"/>
    <col min="4104" max="4104" width="26.125" style="115" customWidth="1"/>
    <col min="4105" max="4105" width="75.375" style="115" customWidth="1"/>
    <col min="4106" max="4106" width="14.375" style="115" customWidth="1"/>
    <col min="4107" max="4107" width="16" style="115" bestFit="1" customWidth="1"/>
    <col min="4108" max="4110" width="15.5" style="115" customWidth="1"/>
    <col min="4111" max="4111" width="32.625" style="115" customWidth="1"/>
    <col min="4112" max="4112" width="14.125" style="115" bestFit="1" customWidth="1"/>
    <col min="4113" max="4113" width="22.375" style="115" customWidth="1"/>
    <col min="4114" max="4114" width="14.125" style="115" bestFit="1" customWidth="1"/>
    <col min="4115" max="4358" width="9" style="115"/>
    <col min="4359" max="4359" width="13.5" style="115" customWidth="1"/>
    <col min="4360" max="4360" width="26.125" style="115" customWidth="1"/>
    <col min="4361" max="4361" width="75.375" style="115" customWidth="1"/>
    <col min="4362" max="4362" width="14.375" style="115" customWidth="1"/>
    <col min="4363" max="4363" width="16" style="115" bestFit="1" customWidth="1"/>
    <col min="4364" max="4366" width="15.5" style="115" customWidth="1"/>
    <col min="4367" max="4367" width="32.625" style="115" customWidth="1"/>
    <col min="4368" max="4368" width="14.125" style="115" bestFit="1" customWidth="1"/>
    <col min="4369" max="4369" width="22.375" style="115" customWidth="1"/>
    <col min="4370" max="4370" width="14.125" style="115" bestFit="1" customWidth="1"/>
    <col min="4371" max="4614" width="9" style="115"/>
    <col min="4615" max="4615" width="13.5" style="115" customWidth="1"/>
    <col min="4616" max="4616" width="26.125" style="115" customWidth="1"/>
    <col min="4617" max="4617" width="75.375" style="115" customWidth="1"/>
    <col min="4618" max="4618" width="14.375" style="115" customWidth="1"/>
    <col min="4619" max="4619" width="16" style="115" bestFit="1" customWidth="1"/>
    <col min="4620" max="4622" width="15.5" style="115" customWidth="1"/>
    <col min="4623" max="4623" width="32.625" style="115" customWidth="1"/>
    <col min="4624" max="4624" width="14.125" style="115" bestFit="1" customWidth="1"/>
    <col min="4625" max="4625" width="22.375" style="115" customWidth="1"/>
    <col min="4626" max="4626" width="14.125" style="115" bestFit="1" customWidth="1"/>
    <col min="4627" max="4870" width="9" style="115"/>
    <col min="4871" max="4871" width="13.5" style="115" customWidth="1"/>
    <col min="4872" max="4872" width="26.125" style="115" customWidth="1"/>
    <col min="4873" max="4873" width="75.375" style="115" customWidth="1"/>
    <col min="4874" max="4874" width="14.375" style="115" customWidth="1"/>
    <col min="4875" max="4875" width="16" style="115" bestFit="1" customWidth="1"/>
    <col min="4876" max="4878" width="15.5" style="115" customWidth="1"/>
    <col min="4879" max="4879" width="32.625" style="115" customWidth="1"/>
    <col min="4880" max="4880" width="14.125" style="115" bestFit="1" customWidth="1"/>
    <col min="4881" max="4881" width="22.375" style="115" customWidth="1"/>
    <col min="4882" max="4882" width="14.125" style="115" bestFit="1" customWidth="1"/>
    <col min="4883" max="5126" width="9" style="115"/>
    <col min="5127" max="5127" width="13.5" style="115" customWidth="1"/>
    <col min="5128" max="5128" width="26.125" style="115" customWidth="1"/>
    <col min="5129" max="5129" width="75.375" style="115" customWidth="1"/>
    <col min="5130" max="5130" width="14.375" style="115" customWidth="1"/>
    <col min="5131" max="5131" width="16" style="115" bestFit="1" customWidth="1"/>
    <col min="5132" max="5134" width="15.5" style="115" customWidth="1"/>
    <col min="5135" max="5135" width="32.625" style="115" customWidth="1"/>
    <col min="5136" max="5136" width="14.125" style="115" bestFit="1" customWidth="1"/>
    <col min="5137" max="5137" width="22.375" style="115" customWidth="1"/>
    <col min="5138" max="5138" width="14.125" style="115" bestFit="1" customWidth="1"/>
    <col min="5139" max="5382" width="9" style="115"/>
    <col min="5383" max="5383" width="13.5" style="115" customWidth="1"/>
    <col min="5384" max="5384" width="26.125" style="115" customWidth="1"/>
    <col min="5385" max="5385" width="75.375" style="115" customWidth="1"/>
    <col min="5386" max="5386" width="14.375" style="115" customWidth="1"/>
    <col min="5387" max="5387" width="16" style="115" bestFit="1" customWidth="1"/>
    <col min="5388" max="5390" width="15.5" style="115" customWidth="1"/>
    <col min="5391" max="5391" width="32.625" style="115" customWidth="1"/>
    <col min="5392" max="5392" width="14.125" style="115" bestFit="1" customWidth="1"/>
    <col min="5393" max="5393" width="22.375" style="115" customWidth="1"/>
    <col min="5394" max="5394" width="14.125" style="115" bestFit="1" customWidth="1"/>
    <col min="5395" max="5638" width="9" style="115"/>
    <col min="5639" max="5639" width="13.5" style="115" customWidth="1"/>
    <col min="5640" max="5640" width="26.125" style="115" customWidth="1"/>
    <col min="5641" max="5641" width="75.375" style="115" customWidth="1"/>
    <col min="5642" max="5642" width="14.375" style="115" customWidth="1"/>
    <col min="5643" max="5643" width="16" style="115" bestFit="1" customWidth="1"/>
    <col min="5644" max="5646" width="15.5" style="115" customWidth="1"/>
    <col min="5647" max="5647" width="32.625" style="115" customWidth="1"/>
    <col min="5648" max="5648" width="14.125" style="115" bestFit="1" customWidth="1"/>
    <col min="5649" max="5649" width="22.375" style="115" customWidth="1"/>
    <col min="5650" max="5650" width="14.125" style="115" bestFit="1" customWidth="1"/>
    <col min="5651" max="5894" width="9" style="115"/>
    <col min="5895" max="5895" width="13.5" style="115" customWidth="1"/>
    <col min="5896" max="5896" width="26.125" style="115" customWidth="1"/>
    <col min="5897" max="5897" width="75.375" style="115" customWidth="1"/>
    <col min="5898" max="5898" width="14.375" style="115" customWidth="1"/>
    <col min="5899" max="5899" width="16" style="115" bestFit="1" customWidth="1"/>
    <col min="5900" max="5902" width="15.5" style="115" customWidth="1"/>
    <col min="5903" max="5903" width="32.625" style="115" customWidth="1"/>
    <col min="5904" max="5904" width="14.125" style="115" bestFit="1" customWidth="1"/>
    <col min="5905" max="5905" width="22.375" style="115" customWidth="1"/>
    <col min="5906" max="5906" width="14.125" style="115" bestFit="1" customWidth="1"/>
    <col min="5907" max="6150" width="9" style="115"/>
    <col min="6151" max="6151" width="13.5" style="115" customWidth="1"/>
    <col min="6152" max="6152" width="26.125" style="115" customWidth="1"/>
    <col min="6153" max="6153" width="75.375" style="115" customWidth="1"/>
    <col min="6154" max="6154" width="14.375" style="115" customWidth="1"/>
    <col min="6155" max="6155" width="16" style="115" bestFit="1" customWidth="1"/>
    <col min="6156" max="6158" width="15.5" style="115" customWidth="1"/>
    <col min="6159" max="6159" width="32.625" style="115" customWidth="1"/>
    <col min="6160" max="6160" width="14.125" style="115" bestFit="1" customWidth="1"/>
    <col min="6161" max="6161" width="22.375" style="115" customWidth="1"/>
    <col min="6162" max="6162" width="14.125" style="115" bestFit="1" customWidth="1"/>
    <col min="6163" max="6406" width="9" style="115"/>
    <col min="6407" max="6407" width="13.5" style="115" customWidth="1"/>
    <col min="6408" max="6408" width="26.125" style="115" customWidth="1"/>
    <col min="6409" max="6409" width="75.375" style="115" customWidth="1"/>
    <col min="6410" max="6410" width="14.375" style="115" customWidth="1"/>
    <col min="6411" max="6411" width="16" style="115" bestFit="1" customWidth="1"/>
    <col min="6412" max="6414" width="15.5" style="115" customWidth="1"/>
    <col min="6415" max="6415" width="32.625" style="115" customWidth="1"/>
    <col min="6416" max="6416" width="14.125" style="115" bestFit="1" customWidth="1"/>
    <col min="6417" max="6417" width="22.375" style="115" customWidth="1"/>
    <col min="6418" max="6418" width="14.125" style="115" bestFit="1" customWidth="1"/>
    <col min="6419" max="6662" width="9" style="115"/>
    <col min="6663" max="6663" width="13.5" style="115" customWidth="1"/>
    <col min="6664" max="6664" width="26.125" style="115" customWidth="1"/>
    <col min="6665" max="6665" width="75.375" style="115" customWidth="1"/>
    <col min="6666" max="6666" width="14.375" style="115" customWidth="1"/>
    <col min="6667" max="6667" width="16" style="115" bestFit="1" customWidth="1"/>
    <col min="6668" max="6670" width="15.5" style="115" customWidth="1"/>
    <col min="6671" max="6671" width="32.625" style="115" customWidth="1"/>
    <col min="6672" max="6672" width="14.125" style="115" bestFit="1" customWidth="1"/>
    <col min="6673" max="6673" width="22.375" style="115" customWidth="1"/>
    <col min="6674" max="6674" width="14.125" style="115" bestFit="1" customWidth="1"/>
    <col min="6675" max="6918" width="9" style="115"/>
    <col min="6919" max="6919" width="13.5" style="115" customWidth="1"/>
    <col min="6920" max="6920" width="26.125" style="115" customWidth="1"/>
    <col min="6921" max="6921" width="75.375" style="115" customWidth="1"/>
    <col min="6922" max="6922" width="14.375" style="115" customWidth="1"/>
    <col min="6923" max="6923" width="16" style="115" bestFit="1" customWidth="1"/>
    <col min="6924" max="6926" width="15.5" style="115" customWidth="1"/>
    <col min="6927" max="6927" width="32.625" style="115" customWidth="1"/>
    <col min="6928" max="6928" width="14.125" style="115" bestFit="1" customWidth="1"/>
    <col min="6929" max="6929" width="22.375" style="115" customWidth="1"/>
    <col min="6930" max="6930" width="14.125" style="115" bestFit="1" customWidth="1"/>
    <col min="6931" max="7174" width="9" style="115"/>
    <col min="7175" max="7175" width="13.5" style="115" customWidth="1"/>
    <col min="7176" max="7176" width="26.125" style="115" customWidth="1"/>
    <col min="7177" max="7177" width="75.375" style="115" customWidth="1"/>
    <col min="7178" max="7178" width="14.375" style="115" customWidth="1"/>
    <col min="7179" max="7179" width="16" style="115" bestFit="1" customWidth="1"/>
    <col min="7180" max="7182" width="15.5" style="115" customWidth="1"/>
    <col min="7183" max="7183" width="32.625" style="115" customWidth="1"/>
    <col min="7184" max="7184" width="14.125" style="115" bestFit="1" customWidth="1"/>
    <col min="7185" max="7185" width="22.375" style="115" customWidth="1"/>
    <col min="7186" max="7186" width="14.125" style="115" bestFit="1" customWidth="1"/>
    <col min="7187" max="7430" width="9" style="115"/>
    <col min="7431" max="7431" width="13.5" style="115" customWidth="1"/>
    <col min="7432" max="7432" width="26.125" style="115" customWidth="1"/>
    <col min="7433" max="7433" width="75.375" style="115" customWidth="1"/>
    <col min="7434" max="7434" width="14.375" style="115" customWidth="1"/>
    <col min="7435" max="7435" width="16" style="115" bestFit="1" customWidth="1"/>
    <col min="7436" max="7438" width="15.5" style="115" customWidth="1"/>
    <col min="7439" max="7439" width="32.625" style="115" customWidth="1"/>
    <col min="7440" max="7440" width="14.125" style="115" bestFit="1" customWidth="1"/>
    <col min="7441" max="7441" width="22.375" style="115" customWidth="1"/>
    <col min="7442" max="7442" width="14.125" style="115" bestFit="1" customWidth="1"/>
    <col min="7443" max="7686" width="9" style="115"/>
    <col min="7687" max="7687" width="13.5" style="115" customWidth="1"/>
    <col min="7688" max="7688" width="26.125" style="115" customWidth="1"/>
    <col min="7689" max="7689" width="75.375" style="115" customWidth="1"/>
    <col min="7690" max="7690" width="14.375" style="115" customWidth="1"/>
    <col min="7691" max="7691" width="16" style="115" bestFit="1" customWidth="1"/>
    <col min="7692" max="7694" width="15.5" style="115" customWidth="1"/>
    <col min="7695" max="7695" width="32.625" style="115" customWidth="1"/>
    <col min="7696" max="7696" width="14.125" style="115" bestFit="1" customWidth="1"/>
    <col min="7697" max="7697" width="22.375" style="115" customWidth="1"/>
    <col min="7698" max="7698" width="14.125" style="115" bestFit="1" customWidth="1"/>
    <col min="7699" max="7942" width="9" style="115"/>
    <col min="7943" max="7943" width="13.5" style="115" customWidth="1"/>
    <col min="7944" max="7944" width="26.125" style="115" customWidth="1"/>
    <col min="7945" max="7945" width="75.375" style="115" customWidth="1"/>
    <col min="7946" max="7946" width="14.375" style="115" customWidth="1"/>
    <col min="7947" max="7947" width="16" style="115" bestFit="1" customWidth="1"/>
    <col min="7948" max="7950" width="15.5" style="115" customWidth="1"/>
    <col min="7951" max="7951" width="32.625" style="115" customWidth="1"/>
    <col min="7952" max="7952" width="14.125" style="115" bestFit="1" customWidth="1"/>
    <col min="7953" max="7953" width="22.375" style="115" customWidth="1"/>
    <col min="7954" max="7954" width="14.125" style="115" bestFit="1" customWidth="1"/>
    <col min="7955" max="8198" width="9" style="115"/>
    <col min="8199" max="8199" width="13.5" style="115" customWidth="1"/>
    <col min="8200" max="8200" width="26.125" style="115" customWidth="1"/>
    <col min="8201" max="8201" width="75.375" style="115" customWidth="1"/>
    <col min="8202" max="8202" width="14.375" style="115" customWidth="1"/>
    <col min="8203" max="8203" width="16" style="115" bestFit="1" customWidth="1"/>
    <col min="8204" max="8206" width="15.5" style="115" customWidth="1"/>
    <col min="8207" max="8207" width="32.625" style="115" customWidth="1"/>
    <col min="8208" max="8208" width="14.125" style="115" bestFit="1" customWidth="1"/>
    <col min="8209" max="8209" width="22.375" style="115" customWidth="1"/>
    <col min="8210" max="8210" width="14.125" style="115" bestFit="1" customWidth="1"/>
    <col min="8211" max="8454" width="9" style="115"/>
    <col min="8455" max="8455" width="13.5" style="115" customWidth="1"/>
    <col min="8456" max="8456" width="26.125" style="115" customWidth="1"/>
    <col min="8457" max="8457" width="75.375" style="115" customWidth="1"/>
    <col min="8458" max="8458" width="14.375" style="115" customWidth="1"/>
    <col min="8459" max="8459" width="16" style="115" bestFit="1" customWidth="1"/>
    <col min="8460" max="8462" width="15.5" style="115" customWidth="1"/>
    <col min="8463" max="8463" width="32.625" style="115" customWidth="1"/>
    <col min="8464" max="8464" width="14.125" style="115" bestFit="1" customWidth="1"/>
    <col min="8465" max="8465" width="22.375" style="115" customWidth="1"/>
    <col min="8466" max="8466" width="14.125" style="115" bestFit="1" customWidth="1"/>
    <col min="8467" max="8710" width="9" style="115"/>
    <col min="8711" max="8711" width="13.5" style="115" customWidth="1"/>
    <col min="8712" max="8712" width="26.125" style="115" customWidth="1"/>
    <col min="8713" max="8713" width="75.375" style="115" customWidth="1"/>
    <col min="8714" max="8714" width="14.375" style="115" customWidth="1"/>
    <col min="8715" max="8715" width="16" style="115" bestFit="1" customWidth="1"/>
    <col min="8716" max="8718" width="15.5" style="115" customWidth="1"/>
    <col min="8719" max="8719" width="32.625" style="115" customWidth="1"/>
    <col min="8720" max="8720" width="14.125" style="115" bestFit="1" customWidth="1"/>
    <col min="8721" max="8721" width="22.375" style="115" customWidth="1"/>
    <col min="8722" max="8722" width="14.125" style="115" bestFit="1" customWidth="1"/>
    <col min="8723" max="8966" width="9" style="115"/>
    <col min="8967" max="8967" width="13.5" style="115" customWidth="1"/>
    <col min="8968" max="8968" width="26.125" style="115" customWidth="1"/>
    <col min="8969" max="8969" width="75.375" style="115" customWidth="1"/>
    <col min="8970" max="8970" width="14.375" style="115" customWidth="1"/>
    <col min="8971" max="8971" width="16" style="115" bestFit="1" customWidth="1"/>
    <col min="8972" max="8974" width="15.5" style="115" customWidth="1"/>
    <col min="8975" max="8975" width="32.625" style="115" customWidth="1"/>
    <col min="8976" max="8976" width="14.125" style="115" bestFit="1" customWidth="1"/>
    <col min="8977" max="8977" width="22.375" style="115" customWidth="1"/>
    <col min="8978" max="8978" width="14.125" style="115" bestFit="1" customWidth="1"/>
    <col min="8979" max="9222" width="9" style="115"/>
    <col min="9223" max="9223" width="13.5" style="115" customWidth="1"/>
    <col min="9224" max="9224" width="26.125" style="115" customWidth="1"/>
    <col min="9225" max="9225" width="75.375" style="115" customWidth="1"/>
    <col min="9226" max="9226" width="14.375" style="115" customWidth="1"/>
    <col min="9227" max="9227" width="16" style="115" bestFit="1" customWidth="1"/>
    <col min="9228" max="9230" width="15.5" style="115" customWidth="1"/>
    <col min="9231" max="9231" width="32.625" style="115" customWidth="1"/>
    <col min="9232" max="9232" width="14.125" style="115" bestFit="1" customWidth="1"/>
    <col min="9233" max="9233" width="22.375" style="115" customWidth="1"/>
    <col min="9234" max="9234" width="14.125" style="115" bestFit="1" customWidth="1"/>
    <col min="9235" max="9478" width="9" style="115"/>
    <col min="9479" max="9479" width="13.5" style="115" customWidth="1"/>
    <col min="9480" max="9480" width="26.125" style="115" customWidth="1"/>
    <col min="9481" max="9481" width="75.375" style="115" customWidth="1"/>
    <col min="9482" max="9482" width="14.375" style="115" customWidth="1"/>
    <col min="9483" max="9483" width="16" style="115" bestFit="1" customWidth="1"/>
    <col min="9484" max="9486" width="15.5" style="115" customWidth="1"/>
    <col min="9487" max="9487" width="32.625" style="115" customWidth="1"/>
    <col min="9488" max="9488" width="14.125" style="115" bestFit="1" customWidth="1"/>
    <col min="9489" max="9489" width="22.375" style="115" customWidth="1"/>
    <col min="9490" max="9490" width="14.125" style="115" bestFit="1" customWidth="1"/>
    <col min="9491" max="9734" width="9" style="115"/>
    <col min="9735" max="9735" width="13.5" style="115" customWidth="1"/>
    <col min="9736" max="9736" width="26.125" style="115" customWidth="1"/>
    <col min="9737" max="9737" width="75.375" style="115" customWidth="1"/>
    <col min="9738" max="9738" width="14.375" style="115" customWidth="1"/>
    <col min="9739" max="9739" width="16" style="115" bestFit="1" customWidth="1"/>
    <col min="9740" max="9742" width="15.5" style="115" customWidth="1"/>
    <col min="9743" max="9743" width="32.625" style="115" customWidth="1"/>
    <col min="9744" max="9744" width="14.125" style="115" bestFit="1" customWidth="1"/>
    <col min="9745" max="9745" width="22.375" style="115" customWidth="1"/>
    <col min="9746" max="9746" width="14.125" style="115" bestFit="1" customWidth="1"/>
    <col min="9747" max="9990" width="9" style="115"/>
    <col min="9991" max="9991" width="13.5" style="115" customWidth="1"/>
    <col min="9992" max="9992" width="26.125" style="115" customWidth="1"/>
    <col min="9993" max="9993" width="75.375" style="115" customWidth="1"/>
    <col min="9994" max="9994" width="14.375" style="115" customWidth="1"/>
    <col min="9995" max="9995" width="16" style="115" bestFit="1" customWidth="1"/>
    <col min="9996" max="9998" width="15.5" style="115" customWidth="1"/>
    <col min="9999" max="9999" width="32.625" style="115" customWidth="1"/>
    <col min="10000" max="10000" width="14.125" style="115" bestFit="1" customWidth="1"/>
    <col min="10001" max="10001" width="22.375" style="115" customWidth="1"/>
    <col min="10002" max="10002" width="14.125" style="115" bestFit="1" customWidth="1"/>
    <col min="10003" max="10246" width="9" style="115"/>
    <col min="10247" max="10247" width="13.5" style="115" customWidth="1"/>
    <col min="10248" max="10248" width="26.125" style="115" customWidth="1"/>
    <col min="10249" max="10249" width="75.375" style="115" customWidth="1"/>
    <col min="10250" max="10250" width="14.375" style="115" customWidth="1"/>
    <col min="10251" max="10251" width="16" style="115" bestFit="1" customWidth="1"/>
    <col min="10252" max="10254" width="15.5" style="115" customWidth="1"/>
    <col min="10255" max="10255" width="32.625" style="115" customWidth="1"/>
    <col min="10256" max="10256" width="14.125" style="115" bestFit="1" customWidth="1"/>
    <col min="10257" max="10257" width="22.375" style="115" customWidth="1"/>
    <col min="10258" max="10258" width="14.125" style="115" bestFit="1" customWidth="1"/>
    <col min="10259" max="10502" width="9" style="115"/>
    <col min="10503" max="10503" width="13.5" style="115" customWidth="1"/>
    <col min="10504" max="10504" width="26.125" style="115" customWidth="1"/>
    <col min="10505" max="10505" width="75.375" style="115" customWidth="1"/>
    <col min="10506" max="10506" width="14.375" style="115" customWidth="1"/>
    <col min="10507" max="10507" width="16" style="115" bestFit="1" customWidth="1"/>
    <col min="10508" max="10510" width="15.5" style="115" customWidth="1"/>
    <col min="10511" max="10511" width="32.625" style="115" customWidth="1"/>
    <col min="10512" max="10512" width="14.125" style="115" bestFit="1" customWidth="1"/>
    <col min="10513" max="10513" width="22.375" style="115" customWidth="1"/>
    <col min="10514" max="10514" width="14.125" style="115" bestFit="1" customWidth="1"/>
    <col min="10515" max="10758" width="9" style="115"/>
    <col min="10759" max="10759" width="13.5" style="115" customWidth="1"/>
    <col min="10760" max="10760" width="26.125" style="115" customWidth="1"/>
    <col min="10761" max="10761" width="75.375" style="115" customWidth="1"/>
    <col min="10762" max="10762" width="14.375" style="115" customWidth="1"/>
    <col min="10763" max="10763" width="16" style="115" bestFit="1" customWidth="1"/>
    <col min="10764" max="10766" width="15.5" style="115" customWidth="1"/>
    <col min="10767" max="10767" width="32.625" style="115" customWidth="1"/>
    <col min="10768" max="10768" width="14.125" style="115" bestFit="1" customWidth="1"/>
    <col min="10769" max="10769" width="22.375" style="115" customWidth="1"/>
    <col min="10770" max="10770" width="14.125" style="115" bestFit="1" customWidth="1"/>
    <col min="10771" max="11014" width="9" style="115"/>
    <col min="11015" max="11015" width="13.5" style="115" customWidth="1"/>
    <col min="11016" max="11016" width="26.125" style="115" customWidth="1"/>
    <col min="11017" max="11017" width="75.375" style="115" customWidth="1"/>
    <col min="11018" max="11018" width="14.375" style="115" customWidth="1"/>
    <col min="11019" max="11019" width="16" style="115" bestFit="1" customWidth="1"/>
    <col min="11020" max="11022" width="15.5" style="115" customWidth="1"/>
    <col min="11023" max="11023" width="32.625" style="115" customWidth="1"/>
    <col min="11024" max="11024" width="14.125" style="115" bestFit="1" customWidth="1"/>
    <col min="11025" max="11025" width="22.375" style="115" customWidth="1"/>
    <col min="11026" max="11026" width="14.125" style="115" bestFit="1" customWidth="1"/>
    <col min="11027" max="11270" width="9" style="115"/>
    <col min="11271" max="11271" width="13.5" style="115" customWidth="1"/>
    <col min="11272" max="11272" width="26.125" style="115" customWidth="1"/>
    <col min="11273" max="11273" width="75.375" style="115" customWidth="1"/>
    <col min="11274" max="11274" width="14.375" style="115" customWidth="1"/>
    <col min="11275" max="11275" width="16" style="115" bestFit="1" customWidth="1"/>
    <col min="11276" max="11278" width="15.5" style="115" customWidth="1"/>
    <col min="11279" max="11279" width="32.625" style="115" customWidth="1"/>
    <col min="11280" max="11280" width="14.125" style="115" bestFit="1" customWidth="1"/>
    <col min="11281" max="11281" width="22.375" style="115" customWidth="1"/>
    <col min="11282" max="11282" width="14.125" style="115" bestFit="1" customWidth="1"/>
    <col min="11283" max="11526" width="9" style="115"/>
    <col min="11527" max="11527" width="13.5" style="115" customWidth="1"/>
    <col min="11528" max="11528" width="26.125" style="115" customWidth="1"/>
    <col min="11529" max="11529" width="75.375" style="115" customWidth="1"/>
    <col min="11530" max="11530" width="14.375" style="115" customWidth="1"/>
    <col min="11531" max="11531" width="16" style="115" bestFit="1" customWidth="1"/>
    <col min="11532" max="11534" width="15.5" style="115" customWidth="1"/>
    <col min="11535" max="11535" width="32.625" style="115" customWidth="1"/>
    <col min="11536" max="11536" width="14.125" style="115" bestFit="1" customWidth="1"/>
    <col min="11537" max="11537" width="22.375" style="115" customWidth="1"/>
    <col min="11538" max="11538" width="14.125" style="115" bestFit="1" customWidth="1"/>
    <col min="11539" max="11782" width="9" style="115"/>
    <col min="11783" max="11783" width="13.5" style="115" customWidth="1"/>
    <col min="11784" max="11784" width="26.125" style="115" customWidth="1"/>
    <col min="11785" max="11785" width="75.375" style="115" customWidth="1"/>
    <col min="11786" max="11786" width="14.375" style="115" customWidth="1"/>
    <col min="11787" max="11787" width="16" style="115" bestFit="1" customWidth="1"/>
    <col min="11788" max="11790" width="15.5" style="115" customWidth="1"/>
    <col min="11791" max="11791" width="32.625" style="115" customWidth="1"/>
    <col min="11792" max="11792" width="14.125" style="115" bestFit="1" customWidth="1"/>
    <col min="11793" max="11793" width="22.375" style="115" customWidth="1"/>
    <col min="11794" max="11794" width="14.125" style="115" bestFit="1" customWidth="1"/>
    <col min="11795" max="12038" width="9" style="115"/>
    <col min="12039" max="12039" width="13.5" style="115" customWidth="1"/>
    <col min="12040" max="12040" width="26.125" style="115" customWidth="1"/>
    <col min="12041" max="12041" width="75.375" style="115" customWidth="1"/>
    <col min="12042" max="12042" width="14.375" style="115" customWidth="1"/>
    <col min="12043" max="12043" width="16" style="115" bestFit="1" customWidth="1"/>
    <col min="12044" max="12046" width="15.5" style="115" customWidth="1"/>
    <col min="12047" max="12047" width="32.625" style="115" customWidth="1"/>
    <col min="12048" max="12048" width="14.125" style="115" bestFit="1" customWidth="1"/>
    <col min="12049" max="12049" width="22.375" style="115" customWidth="1"/>
    <col min="12050" max="12050" width="14.125" style="115" bestFit="1" customWidth="1"/>
    <col min="12051" max="12294" width="9" style="115"/>
    <col min="12295" max="12295" width="13.5" style="115" customWidth="1"/>
    <col min="12296" max="12296" width="26.125" style="115" customWidth="1"/>
    <col min="12297" max="12297" width="75.375" style="115" customWidth="1"/>
    <col min="12298" max="12298" width="14.375" style="115" customWidth="1"/>
    <col min="12299" max="12299" width="16" style="115" bestFit="1" customWidth="1"/>
    <col min="12300" max="12302" width="15.5" style="115" customWidth="1"/>
    <col min="12303" max="12303" width="32.625" style="115" customWidth="1"/>
    <col min="12304" max="12304" width="14.125" style="115" bestFit="1" customWidth="1"/>
    <col min="12305" max="12305" width="22.375" style="115" customWidth="1"/>
    <col min="12306" max="12306" width="14.125" style="115" bestFit="1" customWidth="1"/>
    <col min="12307" max="12550" width="9" style="115"/>
    <col min="12551" max="12551" width="13.5" style="115" customWidth="1"/>
    <col min="12552" max="12552" width="26.125" style="115" customWidth="1"/>
    <col min="12553" max="12553" width="75.375" style="115" customWidth="1"/>
    <col min="12554" max="12554" width="14.375" style="115" customWidth="1"/>
    <col min="12555" max="12555" width="16" style="115" bestFit="1" customWidth="1"/>
    <col min="12556" max="12558" width="15.5" style="115" customWidth="1"/>
    <col min="12559" max="12559" width="32.625" style="115" customWidth="1"/>
    <col min="12560" max="12560" width="14.125" style="115" bestFit="1" customWidth="1"/>
    <col min="12561" max="12561" width="22.375" style="115" customWidth="1"/>
    <col min="12562" max="12562" width="14.125" style="115" bestFit="1" customWidth="1"/>
    <col min="12563" max="12806" width="9" style="115"/>
    <col min="12807" max="12807" width="13.5" style="115" customWidth="1"/>
    <col min="12808" max="12808" width="26.125" style="115" customWidth="1"/>
    <col min="12809" max="12809" width="75.375" style="115" customWidth="1"/>
    <col min="12810" max="12810" width="14.375" style="115" customWidth="1"/>
    <col min="12811" max="12811" width="16" style="115" bestFit="1" customWidth="1"/>
    <col min="12812" max="12814" width="15.5" style="115" customWidth="1"/>
    <col min="12815" max="12815" width="32.625" style="115" customWidth="1"/>
    <col min="12816" max="12816" width="14.125" style="115" bestFit="1" customWidth="1"/>
    <col min="12817" max="12817" width="22.375" style="115" customWidth="1"/>
    <col min="12818" max="12818" width="14.125" style="115" bestFit="1" customWidth="1"/>
    <col min="12819" max="13062" width="9" style="115"/>
    <col min="13063" max="13063" width="13.5" style="115" customWidth="1"/>
    <col min="13064" max="13064" width="26.125" style="115" customWidth="1"/>
    <col min="13065" max="13065" width="75.375" style="115" customWidth="1"/>
    <col min="13066" max="13066" width="14.375" style="115" customWidth="1"/>
    <col min="13067" max="13067" width="16" style="115" bestFit="1" customWidth="1"/>
    <col min="13068" max="13070" width="15.5" style="115" customWidth="1"/>
    <col min="13071" max="13071" width="32.625" style="115" customWidth="1"/>
    <col min="13072" max="13072" width="14.125" style="115" bestFit="1" customWidth="1"/>
    <col min="13073" max="13073" width="22.375" style="115" customWidth="1"/>
    <col min="13074" max="13074" width="14.125" style="115" bestFit="1" customWidth="1"/>
    <col min="13075" max="13318" width="9" style="115"/>
    <col min="13319" max="13319" width="13.5" style="115" customWidth="1"/>
    <col min="13320" max="13320" width="26.125" style="115" customWidth="1"/>
    <col min="13321" max="13321" width="75.375" style="115" customWidth="1"/>
    <col min="13322" max="13322" width="14.375" style="115" customWidth="1"/>
    <col min="13323" max="13323" width="16" style="115" bestFit="1" customWidth="1"/>
    <col min="13324" max="13326" width="15.5" style="115" customWidth="1"/>
    <col min="13327" max="13327" width="32.625" style="115" customWidth="1"/>
    <col min="13328" max="13328" width="14.125" style="115" bestFit="1" customWidth="1"/>
    <col min="13329" max="13329" width="22.375" style="115" customWidth="1"/>
    <col min="13330" max="13330" width="14.125" style="115" bestFit="1" customWidth="1"/>
    <col min="13331" max="13574" width="9" style="115"/>
    <col min="13575" max="13575" width="13.5" style="115" customWidth="1"/>
    <col min="13576" max="13576" width="26.125" style="115" customWidth="1"/>
    <col min="13577" max="13577" width="75.375" style="115" customWidth="1"/>
    <col min="13578" max="13578" width="14.375" style="115" customWidth="1"/>
    <col min="13579" max="13579" width="16" style="115" bestFit="1" customWidth="1"/>
    <col min="13580" max="13582" width="15.5" style="115" customWidth="1"/>
    <col min="13583" max="13583" width="32.625" style="115" customWidth="1"/>
    <col min="13584" max="13584" width="14.125" style="115" bestFit="1" customWidth="1"/>
    <col min="13585" max="13585" width="22.375" style="115" customWidth="1"/>
    <col min="13586" max="13586" width="14.125" style="115" bestFit="1" customWidth="1"/>
    <col min="13587" max="13830" width="9" style="115"/>
    <col min="13831" max="13831" width="13.5" style="115" customWidth="1"/>
    <col min="13832" max="13832" width="26.125" style="115" customWidth="1"/>
    <col min="13833" max="13833" width="75.375" style="115" customWidth="1"/>
    <col min="13834" max="13834" width="14.375" style="115" customWidth="1"/>
    <col min="13835" max="13835" width="16" style="115" bestFit="1" customWidth="1"/>
    <col min="13836" max="13838" width="15.5" style="115" customWidth="1"/>
    <col min="13839" max="13839" width="32.625" style="115" customWidth="1"/>
    <col min="13840" max="13840" width="14.125" style="115" bestFit="1" customWidth="1"/>
    <col min="13841" max="13841" width="22.375" style="115" customWidth="1"/>
    <col min="13842" max="13842" width="14.125" style="115" bestFit="1" customWidth="1"/>
    <col min="13843" max="14086" width="9" style="115"/>
    <col min="14087" max="14087" width="13.5" style="115" customWidth="1"/>
    <col min="14088" max="14088" width="26.125" style="115" customWidth="1"/>
    <col min="14089" max="14089" width="75.375" style="115" customWidth="1"/>
    <col min="14090" max="14090" width="14.375" style="115" customWidth="1"/>
    <col min="14091" max="14091" width="16" style="115" bestFit="1" customWidth="1"/>
    <col min="14092" max="14094" width="15.5" style="115" customWidth="1"/>
    <col min="14095" max="14095" width="32.625" style="115" customWidth="1"/>
    <col min="14096" max="14096" width="14.125" style="115" bestFit="1" customWidth="1"/>
    <col min="14097" max="14097" width="22.375" style="115" customWidth="1"/>
    <col min="14098" max="14098" width="14.125" style="115" bestFit="1" customWidth="1"/>
    <col min="14099" max="14342" width="9" style="115"/>
    <col min="14343" max="14343" width="13.5" style="115" customWidth="1"/>
    <col min="14344" max="14344" width="26.125" style="115" customWidth="1"/>
    <col min="14345" max="14345" width="75.375" style="115" customWidth="1"/>
    <col min="14346" max="14346" width="14.375" style="115" customWidth="1"/>
    <col min="14347" max="14347" width="16" style="115" bestFit="1" customWidth="1"/>
    <col min="14348" max="14350" width="15.5" style="115" customWidth="1"/>
    <col min="14351" max="14351" width="32.625" style="115" customWidth="1"/>
    <col min="14352" max="14352" width="14.125" style="115" bestFit="1" customWidth="1"/>
    <col min="14353" max="14353" width="22.375" style="115" customWidth="1"/>
    <col min="14354" max="14354" width="14.125" style="115" bestFit="1" customWidth="1"/>
    <col min="14355" max="14598" width="9" style="115"/>
    <col min="14599" max="14599" width="13.5" style="115" customWidth="1"/>
    <col min="14600" max="14600" width="26.125" style="115" customWidth="1"/>
    <col min="14601" max="14601" width="75.375" style="115" customWidth="1"/>
    <col min="14602" max="14602" width="14.375" style="115" customWidth="1"/>
    <col min="14603" max="14603" width="16" style="115" bestFit="1" customWidth="1"/>
    <col min="14604" max="14606" width="15.5" style="115" customWidth="1"/>
    <col min="14607" max="14607" width="32.625" style="115" customWidth="1"/>
    <col min="14608" max="14608" width="14.125" style="115" bestFit="1" customWidth="1"/>
    <col min="14609" max="14609" width="22.375" style="115" customWidth="1"/>
    <col min="14610" max="14610" width="14.125" style="115" bestFit="1" customWidth="1"/>
    <col min="14611" max="14854" width="9" style="115"/>
    <col min="14855" max="14855" width="13.5" style="115" customWidth="1"/>
    <col min="14856" max="14856" width="26.125" style="115" customWidth="1"/>
    <col min="14857" max="14857" width="75.375" style="115" customWidth="1"/>
    <col min="14858" max="14858" width="14.375" style="115" customWidth="1"/>
    <col min="14859" max="14859" width="16" style="115" bestFit="1" customWidth="1"/>
    <col min="14860" max="14862" width="15.5" style="115" customWidth="1"/>
    <col min="14863" max="14863" width="32.625" style="115" customWidth="1"/>
    <col min="14864" max="14864" width="14.125" style="115" bestFit="1" customWidth="1"/>
    <col min="14865" max="14865" width="22.375" style="115" customWidth="1"/>
    <col min="14866" max="14866" width="14.125" style="115" bestFit="1" customWidth="1"/>
    <col min="14867" max="15110" width="9" style="115"/>
    <col min="15111" max="15111" width="13.5" style="115" customWidth="1"/>
    <col min="15112" max="15112" width="26.125" style="115" customWidth="1"/>
    <col min="15113" max="15113" width="75.375" style="115" customWidth="1"/>
    <col min="15114" max="15114" width="14.375" style="115" customWidth="1"/>
    <col min="15115" max="15115" width="16" style="115" bestFit="1" customWidth="1"/>
    <col min="15116" max="15118" width="15.5" style="115" customWidth="1"/>
    <col min="15119" max="15119" width="32.625" style="115" customWidth="1"/>
    <col min="15120" max="15120" width="14.125" style="115" bestFit="1" customWidth="1"/>
    <col min="15121" max="15121" width="22.375" style="115" customWidth="1"/>
    <col min="15122" max="15122" width="14.125" style="115" bestFit="1" customWidth="1"/>
    <col min="15123" max="15366" width="9" style="115"/>
    <col min="15367" max="15367" width="13.5" style="115" customWidth="1"/>
    <col min="15368" max="15368" width="26.125" style="115" customWidth="1"/>
    <col min="15369" max="15369" width="75.375" style="115" customWidth="1"/>
    <col min="15370" max="15370" width="14.375" style="115" customWidth="1"/>
    <col min="15371" max="15371" width="16" style="115" bestFit="1" customWidth="1"/>
    <col min="15372" max="15374" width="15.5" style="115" customWidth="1"/>
    <col min="15375" max="15375" width="32.625" style="115" customWidth="1"/>
    <col min="15376" max="15376" width="14.125" style="115" bestFit="1" customWidth="1"/>
    <col min="15377" max="15377" width="22.375" style="115" customWidth="1"/>
    <col min="15378" max="15378" width="14.125" style="115" bestFit="1" customWidth="1"/>
    <col min="15379" max="15622" width="9" style="115"/>
    <col min="15623" max="15623" width="13.5" style="115" customWidth="1"/>
    <col min="15624" max="15624" width="26.125" style="115" customWidth="1"/>
    <col min="15625" max="15625" width="75.375" style="115" customWidth="1"/>
    <col min="15626" max="15626" width="14.375" style="115" customWidth="1"/>
    <col min="15627" max="15627" width="16" style="115" bestFit="1" customWidth="1"/>
    <col min="15628" max="15630" width="15.5" style="115" customWidth="1"/>
    <col min="15631" max="15631" width="32.625" style="115" customWidth="1"/>
    <col min="15632" max="15632" width="14.125" style="115" bestFit="1" customWidth="1"/>
    <col min="15633" max="15633" width="22.375" style="115" customWidth="1"/>
    <col min="15634" max="15634" width="14.125" style="115" bestFit="1" customWidth="1"/>
    <col min="15635" max="15878" width="9" style="115"/>
    <col min="15879" max="15879" width="13.5" style="115" customWidth="1"/>
    <col min="15880" max="15880" width="26.125" style="115" customWidth="1"/>
    <col min="15881" max="15881" width="75.375" style="115" customWidth="1"/>
    <col min="15882" max="15882" width="14.375" style="115" customWidth="1"/>
    <col min="15883" max="15883" width="16" style="115" bestFit="1" customWidth="1"/>
    <col min="15884" max="15886" width="15.5" style="115" customWidth="1"/>
    <col min="15887" max="15887" width="32.625" style="115" customWidth="1"/>
    <col min="15888" max="15888" width="14.125" style="115" bestFit="1" customWidth="1"/>
    <col min="15889" max="15889" width="22.375" style="115" customWidth="1"/>
    <col min="15890" max="15890" width="14.125" style="115" bestFit="1" customWidth="1"/>
    <col min="15891" max="16134" width="9" style="115"/>
    <col min="16135" max="16135" width="13.5" style="115" customWidth="1"/>
    <col min="16136" max="16136" width="26.125" style="115" customWidth="1"/>
    <col min="16137" max="16137" width="75.375" style="115" customWidth="1"/>
    <col min="16138" max="16138" width="14.375" style="115" customWidth="1"/>
    <col min="16139" max="16139" width="16" style="115" bestFit="1" customWidth="1"/>
    <col min="16140" max="16142" width="15.5" style="115" customWidth="1"/>
    <col min="16143" max="16143" width="32.625" style="115" customWidth="1"/>
    <col min="16144" max="16144" width="14.125" style="115" bestFit="1" customWidth="1"/>
    <col min="16145" max="16145" width="22.375" style="115" customWidth="1"/>
    <col min="16146" max="16146" width="14.125" style="115" bestFit="1" customWidth="1"/>
    <col min="16147" max="16384" width="9" style="115"/>
  </cols>
  <sheetData>
    <row r="1" spans="1:17" s="167" customFormat="1" ht="18.75" x14ac:dyDescent="0.25">
      <c r="B1" s="168"/>
      <c r="C1" s="168"/>
      <c r="D1" s="168"/>
      <c r="E1" s="168"/>
      <c r="F1" s="168"/>
      <c r="G1" s="168"/>
      <c r="H1" s="168"/>
      <c r="I1" s="168"/>
      <c r="J1" s="168"/>
      <c r="K1" s="168"/>
      <c r="L1" s="168"/>
      <c r="M1" s="168"/>
      <c r="N1" s="168"/>
      <c r="O1" s="169" t="s">
        <v>441</v>
      </c>
      <c r="P1" s="229"/>
    </row>
    <row r="2" spans="1:17" s="167" customFormat="1" ht="23.25" customHeight="1" x14ac:dyDescent="0.25">
      <c r="A2" s="341" t="s">
        <v>729</v>
      </c>
      <c r="B2" s="341"/>
      <c r="C2" s="341"/>
      <c r="D2" s="341"/>
      <c r="E2" s="341"/>
      <c r="F2" s="341"/>
      <c r="G2" s="341"/>
      <c r="H2" s="341"/>
      <c r="I2" s="341"/>
      <c r="J2" s="341"/>
      <c r="K2" s="341"/>
      <c r="L2" s="341"/>
      <c r="M2" s="341"/>
      <c r="N2" s="341"/>
      <c r="O2" s="341"/>
      <c r="P2" s="229"/>
    </row>
    <row r="3" spans="1:17" s="167" customFormat="1" ht="18.75" x14ac:dyDescent="0.25">
      <c r="A3" s="342" t="s">
        <v>781</v>
      </c>
      <c r="B3" s="342"/>
      <c r="C3" s="342"/>
      <c r="D3" s="342"/>
      <c r="E3" s="342"/>
      <c r="F3" s="342"/>
      <c r="G3" s="342"/>
      <c r="H3" s="342"/>
      <c r="I3" s="342"/>
      <c r="J3" s="342"/>
      <c r="K3" s="342"/>
      <c r="L3" s="342"/>
      <c r="M3" s="342"/>
      <c r="N3" s="342"/>
      <c r="O3" s="342"/>
      <c r="P3" s="229"/>
    </row>
    <row r="4" spans="1:17" ht="21.75" customHeight="1" x14ac:dyDescent="0.25">
      <c r="B4" s="170"/>
      <c r="C4" s="170"/>
      <c r="O4" s="228" t="s">
        <v>0</v>
      </c>
    </row>
    <row r="5" spans="1:17" s="171" customFormat="1" ht="18.75" x14ac:dyDescent="0.25">
      <c r="A5" s="343" t="s">
        <v>299</v>
      </c>
      <c r="B5" s="343" t="s">
        <v>2</v>
      </c>
      <c r="C5" s="343" t="s">
        <v>316</v>
      </c>
      <c r="D5" s="343" t="s">
        <v>317</v>
      </c>
      <c r="E5" s="345" t="s">
        <v>318</v>
      </c>
      <c r="F5" s="346"/>
      <c r="G5" s="346"/>
      <c r="H5" s="346"/>
      <c r="I5" s="346"/>
      <c r="J5" s="346"/>
      <c r="K5" s="346"/>
      <c r="L5" s="346"/>
      <c r="M5" s="346"/>
      <c r="N5" s="347"/>
      <c r="O5" s="343" t="s">
        <v>173</v>
      </c>
      <c r="P5" s="231"/>
    </row>
    <row r="6" spans="1:17" s="171" customFormat="1" ht="47.25" x14ac:dyDescent="0.25">
      <c r="A6" s="344"/>
      <c r="B6" s="344"/>
      <c r="C6" s="344"/>
      <c r="D6" s="344"/>
      <c r="E6" s="322" t="s">
        <v>319</v>
      </c>
      <c r="F6" s="322" t="s">
        <v>320</v>
      </c>
      <c r="G6" s="322" t="s">
        <v>390</v>
      </c>
      <c r="H6" s="322" t="s">
        <v>442</v>
      </c>
      <c r="I6" s="322" t="s">
        <v>321</v>
      </c>
      <c r="J6" s="322" t="s">
        <v>382</v>
      </c>
      <c r="K6" s="322" t="s">
        <v>780</v>
      </c>
      <c r="L6" s="322" t="s">
        <v>419</v>
      </c>
      <c r="M6" s="322" t="s">
        <v>322</v>
      </c>
      <c r="N6" s="322" t="s">
        <v>323</v>
      </c>
      <c r="O6" s="344"/>
      <c r="P6" s="232"/>
    </row>
    <row r="7" spans="1:17" s="174" customFormat="1" ht="12.75" x14ac:dyDescent="0.25">
      <c r="A7" s="173" t="s">
        <v>3</v>
      </c>
      <c r="B7" s="173" t="s">
        <v>4</v>
      </c>
      <c r="C7" s="173" t="s">
        <v>162</v>
      </c>
      <c r="D7" s="173" t="s">
        <v>439</v>
      </c>
      <c r="E7" s="173">
        <v>2</v>
      </c>
      <c r="F7" s="173">
        <v>3</v>
      </c>
      <c r="G7" s="173">
        <v>2</v>
      </c>
      <c r="H7" s="173">
        <v>3</v>
      </c>
      <c r="I7" s="173">
        <v>4</v>
      </c>
      <c r="J7" s="173"/>
      <c r="K7" s="173"/>
      <c r="L7" s="173"/>
      <c r="M7" s="173">
        <v>6</v>
      </c>
      <c r="N7" s="173">
        <v>5</v>
      </c>
      <c r="O7" s="173" t="s">
        <v>325</v>
      </c>
      <c r="P7" s="233"/>
    </row>
    <row r="8" spans="1:17" s="1" customFormat="1" ht="31.5" x14ac:dyDescent="0.25">
      <c r="A8" s="218">
        <v>1</v>
      </c>
      <c r="B8" s="219" t="s">
        <v>730</v>
      </c>
      <c r="C8" s="177" t="s">
        <v>731</v>
      </c>
      <c r="D8" s="28">
        <v>875700</v>
      </c>
      <c r="E8" s="28"/>
      <c r="F8" s="28"/>
      <c r="G8" s="28"/>
      <c r="H8" s="28"/>
      <c r="I8" s="28"/>
      <c r="J8" s="28"/>
      <c r="K8" s="28"/>
      <c r="L8" s="28"/>
      <c r="M8" s="28">
        <f>D8</f>
        <v>875700</v>
      </c>
      <c r="N8" s="28"/>
      <c r="O8" s="216" t="s">
        <v>732</v>
      </c>
      <c r="P8" s="234"/>
      <c r="Q8" s="175"/>
    </row>
    <row r="9" spans="1:17" s="178" customFormat="1" ht="47.25" x14ac:dyDescent="0.25">
      <c r="A9" s="218">
        <v>2</v>
      </c>
      <c r="B9" s="176" t="s">
        <v>686</v>
      </c>
      <c r="C9" s="177" t="s">
        <v>733</v>
      </c>
      <c r="D9" s="220">
        <v>48900</v>
      </c>
      <c r="E9" s="220"/>
      <c r="F9" s="220"/>
      <c r="G9" s="220"/>
      <c r="H9" s="220">
        <f>D9</f>
        <v>48900</v>
      </c>
      <c r="I9" s="220"/>
      <c r="J9" s="220"/>
      <c r="K9" s="220"/>
      <c r="L9" s="220"/>
      <c r="M9" s="220"/>
      <c r="N9" s="220"/>
      <c r="O9" s="216" t="s">
        <v>737</v>
      </c>
      <c r="P9" s="214"/>
    </row>
    <row r="10" spans="1:17" s="167" customFormat="1" ht="47.25" x14ac:dyDescent="0.25">
      <c r="A10" s="218">
        <v>3</v>
      </c>
      <c r="B10" s="221" t="s">
        <v>734</v>
      </c>
      <c r="C10" s="222" t="s">
        <v>735</v>
      </c>
      <c r="D10" s="28">
        <v>111910</v>
      </c>
      <c r="E10" s="28"/>
      <c r="F10" s="28"/>
      <c r="G10" s="28"/>
      <c r="H10" s="28">
        <f>D10</f>
        <v>111910</v>
      </c>
      <c r="I10" s="28"/>
      <c r="J10" s="28"/>
      <c r="K10" s="28"/>
      <c r="L10" s="28"/>
      <c r="M10" s="28"/>
      <c r="N10" s="28"/>
      <c r="O10" s="216" t="s">
        <v>738</v>
      </c>
      <c r="P10" s="236"/>
    </row>
    <row r="11" spans="1:17" s="167" customFormat="1" ht="72.75" customHeight="1" x14ac:dyDescent="0.25">
      <c r="A11" s="218">
        <v>4</v>
      </c>
      <c r="B11" s="221" t="s">
        <v>736</v>
      </c>
      <c r="C11" s="222" t="s">
        <v>154</v>
      </c>
      <c r="D11" s="28">
        <v>193000</v>
      </c>
      <c r="E11" s="28">
        <f>D11</f>
        <v>193000</v>
      </c>
      <c r="F11" s="28"/>
      <c r="G11" s="28"/>
      <c r="H11" s="28"/>
      <c r="I11" s="28"/>
      <c r="J11" s="28"/>
      <c r="K11" s="28"/>
      <c r="L11" s="28"/>
      <c r="M11" s="28"/>
      <c r="N11" s="28"/>
      <c r="O11" s="216" t="s">
        <v>739</v>
      </c>
      <c r="P11" s="236"/>
    </row>
    <row r="12" spans="1:17" s="167" customFormat="1" ht="37.5" customHeight="1" x14ac:dyDescent="0.25">
      <c r="A12" s="218">
        <v>5</v>
      </c>
      <c r="B12" s="225" t="s">
        <v>740</v>
      </c>
      <c r="C12" s="226" t="s">
        <v>344</v>
      </c>
      <c r="D12" s="227">
        <v>62424</v>
      </c>
      <c r="E12" s="227"/>
      <c r="F12" s="227"/>
      <c r="G12" s="227"/>
      <c r="H12" s="227">
        <f>D12</f>
        <v>62424</v>
      </c>
      <c r="I12" s="227"/>
      <c r="J12" s="227"/>
      <c r="K12" s="227"/>
      <c r="L12" s="227"/>
      <c r="M12" s="227"/>
      <c r="N12" s="227"/>
      <c r="O12" s="217" t="s">
        <v>741</v>
      </c>
      <c r="P12" s="236"/>
    </row>
    <row r="13" spans="1:17" s="167" customFormat="1" ht="31.5" x14ac:dyDescent="0.25">
      <c r="A13" s="218">
        <v>6</v>
      </c>
      <c r="B13" s="225" t="s">
        <v>742</v>
      </c>
      <c r="C13" s="226" t="s">
        <v>743</v>
      </c>
      <c r="D13" s="227">
        <v>13700</v>
      </c>
      <c r="E13" s="227"/>
      <c r="F13" s="227"/>
      <c r="G13" s="227"/>
      <c r="H13" s="227">
        <f>D13</f>
        <v>13700</v>
      </c>
      <c r="I13" s="227"/>
      <c r="J13" s="227"/>
      <c r="K13" s="227"/>
      <c r="L13" s="227"/>
      <c r="M13" s="227"/>
      <c r="N13" s="227"/>
      <c r="O13" s="217" t="s">
        <v>744</v>
      </c>
      <c r="P13" s="236"/>
    </row>
    <row r="14" spans="1:17" s="167" customFormat="1" ht="31.5" x14ac:dyDescent="0.25">
      <c r="A14" s="218">
        <v>7</v>
      </c>
      <c r="B14" s="225" t="s">
        <v>745</v>
      </c>
      <c r="C14" s="226" t="s">
        <v>332</v>
      </c>
      <c r="D14" s="227">
        <v>623000</v>
      </c>
      <c r="E14" s="227"/>
      <c r="F14" s="227"/>
      <c r="G14" s="227"/>
      <c r="H14" s="227"/>
      <c r="I14" s="227">
        <f>D14</f>
        <v>623000</v>
      </c>
      <c r="J14" s="227"/>
      <c r="K14" s="227"/>
      <c r="L14" s="227"/>
      <c r="M14" s="227"/>
      <c r="N14" s="227"/>
      <c r="O14" s="217" t="s">
        <v>746</v>
      </c>
      <c r="P14" s="236"/>
    </row>
    <row r="15" spans="1:17" s="167" customFormat="1" ht="51" customHeight="1" x14ac:dyDescent="0.25">
      <c r="A15" s="218">
        <v>8</v>
      </c>
      <c r="B15" s="221" t="s">
        <v>747</v>
      </c>
      <c r="C15" s="222" t="s">
        <v>326</v>
      </c>
      <c r="D15" s="28">
        <v>85800</v>
      </c>
      <c r="E15" s="28"/>
      <c r="F15" s="28"/>
      <c r="G15" s="28"/>
      <c r="H15" s="28">
        <f>D15</f>
        <v>85800</v>
      </c>
      <c r="I15" s="28"/>
      <c r="J15" s="28"/>
      <c r="K15" s="28"/>
      <c r="L15" s="28"/>
      <c r="M15" s="28"/>
      <c r="N15" s="28"/>
      <c r="O15" s="216" t="s">
        <v>748</v>
      </c>
      <c r="P15" s="240"/>
    </row>
    <row r="16" spans="1:17" s="167" customFormat="1" ht="31.5" x14ac:dyDescent="0.25">
      <c r="A16" s="218">
        <v>9</v>
      </c>
      <c r="B16" s="221" t="s">
        <v>750</v>
      </c>
      <c r="C16" s="222" t="s">
        <v>77</v>
      </c>
      <c r="D16" s="28">
        <v>41800</v>
      </c>
      <c r="E16" s="28"/>
      <c r="F16" s="28"/>
      <c r="G16" s="28"/>
      <c r="H16" s="28">
        <f>D16</f>
        <v>41800</v>
      </c>
      <c r="I16" s="28"/>
      <c r="J16" s="28"/>
      <c r="K16" s="28"/>
      <c r="L16" s="28"/>
      <c r="M16" s="28"/>
      <c r="N16" s="28"/>
      <c r="O16" s="216" t="s">
        <v>749</v>
      </c>
      <c r="P16" s="236"/>
    </row>
    <row r="17" spans="1:17" s="167" customFormat="1" ht="31.5" x14ac:dyDescent="0.25">
      <c r="A17" s="218">
        <v>10</v>
      </c>
      <c r="B17" s="221" t="s">
        <v>751</v>
      </c>
      <c r="C17" s="222" t="s">
        <v>345</v>
      </c>
      <c r="D17" s="28">
        <v>117000</v>
      </c>
      <c r="E17" s="28"/>
      <c r="F17" s="28">
        <f>D17</f>
        <v>117000</v>
      </c>
      <c r="G17" s="28"/>
      <c r="H17" s="28"/>
      <c r="I17" s="28"/>
      <c r="J17" s="28"/>
      <c r="K17" s="28"/>
      <c r="L17" s="28"/>
      <c r="M17" s="28"/>
      <c r="N17" s="28"/>
      <c r="O17" s="216" t="s">
        <v>752</v>
      </c>
      <c r="P17" s="236"/>
    </row>
    <row r="18" spans="1:17" s="167" customFormat="1" ht="31.5" x14ac:dyDescent="0.25">
      <c r="A18" s="218">
        <v>11</v>
      </c>
      <c r="B18" s="225" t="s">
        <v>753</v>
      </c>
      <c r="C18" s="222" t="s">
        <v>361</v>
      </c>
      <c r="D18" s="227">
        <v>89000</v>
      </c>
      <c r="E18" s="227"/>
      <c r="F18" s="227"/>
      <c r="G18" s="227"/>
      <c r="H18" s="227"/>
      <c r="I18" s="227">
        <f>D18</f>
        <v>89000</v>
      </c>
      <c r="J18" s="227"/>
      <c r="K18" s="227"/>
      <c r="L18" s="227"/>
      <c r="M18" s="227"/>
      <c r="N18" s="227"/>
      <c r="O18" s="217" t="s">
        <v>754</v>
      </c>
      <c r="P18" s="236"/>
    </row>
    <row r="19" spans="1:17" s="167" customFormat="1" ht="25.5" x14ac:dyDescent="0.25">
      <c r="A19" s="218">
        <v>12</v>
      </c>
      <c r="B19" s="225" t="s">
        <v>755</v>
      </c>
      <c r="C19" s="226" t="s">
        <v>756</v>
      </c>
      <c r="D19" s="227">
        <v>21392</v>
      </c>
      <c r="E19" s="227"/>
      <c r="F19" s="227"/>
      <c r="G19" s="227"/>
      <c r="H19" s="227"/>
      <c r="I19" s="227">
        <f>D19</f>
        <v>21392</v>
      </c>
      <c r="J19" s="227"/>
      <c r="K19" s="227"/>
      <c r="L19" s="227"/>
      <c r="M19" s="227"/>
      <c r="N19" s="227"/>
      <c r="O19" s="217" t="s">
        <v>757</v>
      </c>
      <c r="P19" s="236"/>
    </row>
    <row r="20" spans="1:17" s="167" customFormat="1" ht="25.5" x14ac:dyDescent="0.25">
      <c r="A20" s="218">
        <v>13</v>
      </c>
      <c r="B20" s="225" t="s">
        <v>758</v>
      </c>
      <c r="C20" s="226" t="s">
        <v>759</v>
      </c>
      <c r="D20" s="227">
        <v>127400</v>
      </c>
      <c r="E20" s="227"/>
      <c r="F20" s="227"/>
      <c r="G20" s="227"/>
      <c r="H20" s="227">
        <f>D20</f>
        <v>127400</v>
      </c>
      <c r="I20" s="227"/>
      <c r="J20" s="227"/>
      <c r="K20" s="227"/>
      <c r="L20" s="227"/>
      <c r="M20" s="227"/>
      <c r="N20" s="227"/>
      <c r="O20" s="217" t="s">
        <v>760</v>
      </c>
      <c r="P20" s="236"/>
    </row>
    <row r="21" spans="1:17" s="167" customFormat="1" ht="31.5" x14ac:dyDescent="0.25">
      <c r="A21" s="218">
        <v>14</v>
      </c>
      <c r="B21" s="225" t="s">
        <v>761</v>
      </c>
      <c r="C21" s="226" t="s">
        <v>332</v>
      </c>
      <c r="D21" s="227">
        <v>796000</v>
      </c>
      <c r="E21" s="227"/>
      <c r="F21" s="227"/>
      <c r="G21" s="227"/>
      <c r="H21" s="227"/>
      <c r="I21" s="227">
        <f>D21</f>
        <v>796000</v>
      </c>
      <c r="J21" s="227"/>
      <c r="K21" s="227"/>
      <c r="L21" s="227"/>
      <c r="M21" s="227"/>
      <c r="N21" s="227"/>
      <c r="O21" s="217" t="s">
        <v>762</v>
      </c>
      <c r="P21" s="236"/>
    </row>
    <row r="22" spans="1:17" s="167" customFormat="1" ht="71.25" customHeight="1" x14ac:dyDescent="0.25">
      <c r="A22" s="218">
        <v>15</v>
      </c>
      <c r="B22" s="225" t="s">
        <v>763</v>
      </c>
      <c r="C22" s="226" t="s">
        <v>110</v>
      </c>
      <c r="D22" s="227">
        <v>93000</v>
      </c>
      <c r="E22" s="227"/>
      <c r="F22" s="227"/>
      <c r="G22" s="227"/>
      <c r="H22" s="227"/>
      <c r="I22" s="227">
        <f>D22</f>
        <v>93000</v>
      </c>
      <c r="J22" s="227"/>
      <c r="K22" s="227"/>
      <c r="L22" s="227"/>
      <c r="M22" s="227"/>
      <c r="N22" s="227"/>
      <c r="O22" s="217" t="s">
        <v>764</v>
      </c>
      <c r="P22" s="236"/>
    </row>
    <row r="23" spans="1:17" s="167" customFormat="1" ht="31.5" x14ac:dyDescent="0.25">
      <c r="A23" s="218">
        <v>16</v>
      </c>
      <c r="B23" s="225" t="s">
        <v>765</v>
      </c>
      <c r="C23" s="226" t="s">
        <v>766</v>
      </c>
      <c r="D23" s="227">
        <v>50000</v>
      </c>
      <c r="E23" s="227"/>
      <c r="F23" s="227"/>
      <c r="G23" s="227"/>
      <c r="H23" s="227"/>
      <c r="I23" s="227">
        <f>D23</f>
        <v>50000</v>
      </c>
      <c r="J23" s="227"/>
      <c r="K23" s="227"/>
      <c r="L23" s="227"/>
      <c r="M23" s="227"/>
      <c r="N23" s="227"/>
      <c r="O23" s="217" t="s">
        <v>767</v>
      </c>
      <c r="P23" s="236"/>
    </row>
    <row r="24" spans="1:17" s="167" customFormat="1" ht="31.5" x14ac:dyDescent="0.25">
      <c r="A24" s="218">
        <v>17</v>
      </c>
      <c r="B24" s="225" t="s">
        <v>768</v>
      </c>
      <c r="C24" s="226" t="s">
        <v>769</v>
      </c>
      <c r="D24" s="227">
        <v>143000</v>
      </c>
      <c r="E24" s="227"/>
      <c r="F24" s="227"/>
      <c r="G24" s="227"/>
      <c r="H24" s="227"/>
      <c r="I24" s="227"/>
      <c r="J24" s="227"/>
      <c r="K24" s="227"/>
      <c r="L24" s="227">
        <f>D24</f>
        <v>143000</v>
      </c>
      <c r="M24" s="227"/>
      <c r="N24" s="227"/>
      <c r="O24" s="217" t="s">
        <v>770</v>
      </c>
      <c r="P24" s="236"/>
    </row>
    <row r="25" spans="1:17" s="167" customFormat="1" ht="51.75" customHeight="1" x14ac:dyDescent="0.25">
      <c r="A25" s="218">
        <v>18</v>
      </c>
      <c r="B25" s="225" t="s">
        <v>771</v>
      </c>
      <c r="C25" s="226" t="s">
        <v>252</v>
      </c>
      <c r="D25" s="227">
        <v>9900</v>
      </c>
      <c r="E25" s="227"/>
      <c r="F25" s="227"/>
      <c r="G25" s="227"/>
      <c r="H25" s="227"/>
      <c r="I25" s="227"/>
      <c r="J25" s="227"/>
      <c r="K25" s="227"/>
      <c r="L25" s="227"/>
      <c r="M25" s="227"/>
      <c r="N25" s="227">
        <f>D25</f>
        <v>9900</v>
      </c>
      <c r="O25" s="217" t="s">
        <v>772</v>
      </c>
      <c r="P25" s="236"/>
    </row>
    <row r="26" spans="1:17" s="167" customFormat="1" ht="54" customHeight="1" x14ac:dyDescent="0.25">
      <c r="A26" s="218">
        <v>19</v>
      </c>
      <c r="B26" s="225" t="s">
        <v>773</v>
      </c>
      <c r="C26" s="226" t="s">
        <v>774</v>
      </c>
      <c r="D26" s="227">
        <v>54100</v>
      </c>
      <c r="E26" s="227"/>
      <c r="F26" s="227"/>
      <c r="G26" s="227"/>
      <c r="H26" s="227"/>
      <c r="I26" s="227">
        <f>D26</f>
        <v>54100</v>
      </c>
      <c r="J26" s="227"/>
      <c r="K26" s="227"/>
      <c r="L26" s="227"/>
      <c r="M26" s="227"/>
      <c r="N26" s="227"/>
      <c r="O26" s="217" t="s">
        <v>775</v>
      </c>
      <c r="P26" s="236"/>
    </row>
    <row r="27" spans="1:17" s="1" customFormat="1" ht="36.75" customHeight="1" x14ac:dyDescent="0.25">
      <c r="A27" s="218">
        <v>20</v>
      </c>
      <c r="B27" s="219" t="s">
        <v>776</v>
      </c>
      <c r="C27" s="177" t="s">
        <v>777</v>
      </c>
      <c r="D27" s="28">
        <v>420500</v>
      </c>
      <c r="E27" s="28"/>
      <c r="F27" s="28"/>
      <c r="G27" s="28"/>
      <c r="H27" s="28"/>
      <c r="I27" s="28">
        <f>D27</f>
        <v>420500</v>
      </c>
      <c r="J27" s="28"/>
      <c r="K27" s="28"/>
      <c r="L27" s="28"/>
      <c r="M27" s="28"/>
      <c r="N27" s="28"/>
      <c r="O27" s="216" t="s">
        <v>778</v>
      </c>
      <c r="P27" s="234"/>
      <c r="Q27" s="175"/>
    </row>
    <row r="28" spans="1:17" s="1" customFormat="1" ht="36.75" customHeight="1" x14ac:dyDescent="0.25">
      <c r="A28" s="218">
        <v>21</v>
      </c>
      <c r="B28" s="324" t="s">
        <v>779</v>
      </c>
      <c r="C28" s="325" t="s">
        <v>769</v>
      </c>
      <c r="D28" s="326">
        <v>56600</v>
      </c>
      <c r="E28" s="326"/>
      <c r="F28" s="326"/>
      <c r="G28" s="326"/>
      <c r="H28" s="326"/>
      <c r="I28" s="326"/>
      <c r="J28" s="326"/>
      <c r="K28" s="326">
        <f>D28</f>
        <v>56600</v>
      </c>
      <c r="L28" s="326"/>
      <c r="M28" s="326"/>
      <c r="N28" s="326"/>
      <c r="O28" s="327"/>
      <c r="P28" s="234"/>
      <c r="Q28" s="175"/>
    </row>
    <row r="29" spans="1:17" s="175" customFormat="1" ht="16.5" x14ac:dyDescent="0.25">
      <c r="A29" s="180"/>
      <c r="B29" s="181" t="s">
        <v>327</v>
      </c>
      <c r="C29" s="182"/>
      <c r="D29" s="183">
        <f>SUM(D8:D28)</f>
        <v>4034126</v>
      </c>
      <c r="E29" s="183">
        <f t="shared" ref="E29:N29" si="0">SUM(E8:E28)</f>
        <v>193000</v>
      </c>
      <c r="F29" s="183">
        <f t="shared" si="0"/>
        <v>117000</v>
      </c>
      <c r="G29" s="183">
        <f t="shared" si="0"/>
        <v>0</v>
      </c>
      <c r="H29" s="183">
        <f t="shared" si="0"/>
        <v>491934</v>
      </c>
      <c r="I29" s="183">
        <f t="shared" si="0"/>
        <v>2146992</v>
      </c>
      <c r="J29" s="183">
        <f t="shared" si="0"/>
        <v>0</v>
      </c>
      <c r="K29" s="183">
        <f t="shared" si="0"/>
        <v>56600</v>
      </c>
      <c r="L29" s="183">
        <f t="shared" si="0"/>
        <v>143000</v>
      </c>
      <c r="M29" s="183">
        <f t="shared" si="0"/>
        <v>875700</v>
      </c>
      <c r="N29" s="183">
        <f t="shared" si="0"/>
        <v>9900</v>
      </c>
      <c r="O29" s="184"/>
      <c r="P29" s="238"/>
    </row>
    <row r="31" spans="1:17" s="1" customFormat="1" ht="34.5" hidden="1" customHeight="1" x14ac:dyDescent="0.25">
      <c r="A31" s="218">
        <v>30</v>
      </c>
      <c r="B31" s="219" t="s">
        <v>348</v>
      </c>
      <c r="C31" s="177" t="s">
        <v>252</v>
      </c>
      <c r="D31" s="264" t="e">
        <f>380000-#REF!</f>
        <v>#REF!</v>
      </c>
      <c r="E31" s="28"/>
      <c r="F31" s="28"/>
      <c r="G31" s="28"/>
      <c r="H31" s="28"/>
      <c r="I31" s="28"/>
      <c r="J31" s="28"/>
      <c r="K31" s="28"/>
      <c r="L31" s="28"/>
      <c r="M31" s="28"/>
      <c r="N31" s="28" t="e">
        <f>D31</f>
        <v>#REF!</v>
      </c>
      <c r="O31" s="216" t="s">
        <v>349</v>
      </c>
      <c r="P31" s="241"/>
      <c r="Q31" s="175"/>
    </row>
    <row r="32" spans="1:17" s="167" customFormat="1" ht="37.5" hidden="1" customHeight="1" x14ac:dyDescent="0.25">
      <c r="A32" s="218">
        <v>31</v>
      </c>
      <c r="B32" s="219" t="s">
        <v>359</v>
      </c>
      <c r="C32" s="222" t="s">
        <v>247</v>
      </c>
      <c r="D32" s="224">
        <v>456000</v>
      </c>
      <c r="E32" s="224"/>
      <c r="F32" s="224"/>
      <c r="G32" s="224"/>
      <c r="H32" s="224"/>
      <c r="I32" s="224"/>
      <c r="J32" s="224"/>
      <c r="K32" s="224"/>
      <c r="L32" s="224"/>
      <c r="M32" s="224"/>
      <c r="N32" s="224">
        <f>D32</f>
        <v>456000</v>
      </c>
      <c r="O32" s="216" t="s">
        <v>360</v>
      </c>
      <c r="P32" s="237"/>
      <c r="Q32" s="179"/>
    </row>
    <row r="33" spans="1:17" s="167" customFormat="1" ht="39.75" hidden="1" customHeight="1" x14ac:dyDescent="0.25">
      <c r="A33" s="218">
        <v>32</v>
      </c>
      <c r="B33" s="225" t="s">
        <v>368</v>
      </c>
      <c r="C33" s="226" t="s">
        <v>369</v>
      </c>
      <c r="D33" s="227">
        <v>235000</v>
      </c>
      <c r="E33" s="227"/>
      <c r="F33" s="227"/>
      <c r="G33" s="227"/>
      <c r="H33" s="227"/>
      <c r="I33" s="227"/>
      <c r="J33" s="227"/>
      <c r="K33" s="227"/>
      <c r="L33" s="227"/>
      <c r="M33" s="227"/>
      <c r="N33" s="227">
        <f>D33</f>
        <v>235000</v>
      </c>
      <c r="O33" s="217" t="s">
        <v>370</v>
      </c>
      <c r="P33" s="236"/>
    </row>
    <row r="34" spans="1:17" s="167" customFormat="1" ht="25.5" hidden="1" x14ac:dyDescent="0.25">
      <c r="A34" s="218">
        <v>33</v>
      </c>
      <c r="B34" s="225" t="s">
        <v>371</v>
      </c>
      <c r="C34" s="226" t="s">
        <v>238</v>
      </c>
      <c r="D34" s="227">
        <v>370000</v>
      </c>
      <c r="E34" s="227"/>
      <c r="F34" s="227"/>
      <c r="G34" s="227"/>
      <c r="H34" s="227"/>
      <c r="I34" s="227"/>
      <c r="J34" s="227"/>
      <c r="K34" s="227"/>
      <c r="L34" s="227"/>
      <c r="M34" s="227"/>
      <c r="N34" s="227">
        <f>D34</f>
        <v>370000</v>
      </c>
      <c r="O34" s="217" t="s">
        <v>372</v>
      </c>
      <c r="P34" s="236"/>
    </row>
    <row r="35" spans="1:17" s="1" customFormat="1" ht="51.75" hidden="1" customHeight="1" x14ac:dyDescent="0.25">
      <c r="A35" s="218">
        <v>34</v>
      </c>
      <c r="B35" s="219" t="s">
        <v>346</v>
      </c>
      <c r="C35" s="177" t="s">
        <v>345</v>
      </c>
      <c r="D35" s="28">
        <v>177000</v>
      </c>
      <c r="E35" s="28"/>
      <c r="F35" s="28">
        <f>D35</f>
        <v>177000</v>
      </c>
      <c r="G35" s="28"/>
      <c r="H35" s="28"/>
      <c r="I35" s="28"/>
      <c r="J35" s="28"/>
      <c r="K35" s="28"/>
      <c r="L35" s="28"/>
      <c r="M35" s="28"/>
      <c r="N35" s="28"/>
      <c r="O35" s="216" t="s">
        <v>347</v>
      </c>
      <c r="P35" s="234"/>
      <c r="Q35" s="175"/>
    </row>
    <row r="36" spans="1:17" s="178" customFormat="1" ht="33" hidden="1" customHeight="1" x14ac:dyDescent="0.25">
      <c r="A36" s="218">
        <v>35</v>
      </c>
      <c r="B36" s="176" t="s">
        <v>351</v>
      </c>
      <c r="C36" s="177" t="s">
        <v>326</v>
      </c>
      <c r="D36" s="220">
        <v>1017000</v>
      </c>
      <c r="E36" s="220"/>
      <c r="F36" s="220"/>
      <c r="G36" s="220"/>
      <c r="H36" s="220">
        <f>D36</f>
        <v>1017000</v>
      </c>
      <c r="I36" s="220"/>
      <c r="J36" s="220"/>
      <c r="K36" s="220"/>
      <c r="L36" s="220"/>
      <c r="M36" s="220"/>
      <c r="N36" s="220"/>
      <c r="O36" s="216" t="s">
        <v>352</v>
      </c>
      <c r="P36" s="235"/>
    </row>
    <row r="37" spans="1:17" s="167" customFormat="1" ht="25.5" hidden="1" x14ac:dyDescent="0.25">
      <c r="A37" s="218">
        <v>36</v>
      </c>
      <c r="B37" s="221" t="s">
        <v>355</v>
      </c>
      <c r="C37" s="222" t="s">
        <v>154</v>
      </c>
      <c r="D37" s="28">
        <v>186000</v>
      </c>
      <c r="E37" s="28">
        <f>D37</f>
        <v>186000</v>
      </c>
      <c r="F37" s="28"/>
      <c r="G37" s="28"/>
      <c r="H37" s="28"/>
      <c r="I37" s="28"/>
      <c r="J37" s="28"/>
      <c r="K37" s="28"/>
      <c r="L37" s="28"/>
      <c r="M37" s="28"/>
      <c r="N37" s="28"/>
      <c r="O37" s="216" t="s">
        <v>356</v>
      </c>
      <c r="P37" s="236"/>
    </row>
    <row r="38" spans="1:17" s="167" customFormat="1" ht="53.25" hidden="1" customHeight="1" x14ac:dyDescent="0.25">
      <c r="A38" s="218">
        <v>37</v>
      </c>
      <c r="B38" s="223" t="s">
        <v>357</v>
      </c>
      <c r="C38" s="222" t="s">
        <v>154</v>
      </c>
      <c r="D38" s="224">
        <v>490000</v>
      </c>
      <c r="E38" s="224">
        <f>D38</f>
        <v>490000</v>
      </c>
      <c r="F38" s="224"/>
      <c r="G38" s="224"/>
      <c r="H38" s="224"/>
      <c r="I38" s="224"/>
      <c r="J38" s="224"/>
      <c r="K38" s="224"/>
      <c r="L38" s="224"/>
      <c r="M38" s="224"/>
      <c r="N38" s="224"/>
      <c r="O38" s="216" t="s">
        <v>358</v>
      </c>
      <c r="P38" s="237"/>
      <c r="Q38" s="179"/>
    </row>
    <row r="39" spans="1:17" s="167" customFormat="1" ht="51.75" hidden="1" customHeight="1" x14ac:dyDescent="0.25">
      <c r="A39" s="218">
        <v>38</v>
      </c>
      <c r="B39" s="225" t="s">
        <v>362</v>
      </c>
      <c r="C39" s="226" t="s">
        <v>326</v>
      </c>
      <c r="D39" s="227">
        <v>39050</v>
      </c>
      <c r="E39" s="227"/>
      <c r="F39" s="227"/>
      <c r="G39" s="227"/>
      <c r="H39" s="227">
        <f>D39</f>
        <v>39050</v>
      </c>
      <c r="I39" s="227"/>
      <c r="J39" s="227"/>
      <c r="K39" s="227"/>
      <c r="L39" s="227"/>
      <c r="M39" s="227"/>
      <c r="N39" s="227"/>
      <c r="O39" s="217" t="s">
        <v>363</v>
      </c>
      <c r="P39" s="236"/>
    </row>
    <row r="40" spans="1:17" s="167" customFormat="1" ht="33" hidden="1" customHeight="1" x14ac:dyDescent="0.25">
      <c r="A40" s="218">
        <v>39</v>
      </c>
      <c r="B40" s="225" t="s">
        <v>364</v>
      </c>
      <c r="C40" s="226" t="s">
        <v>350</v>
      </c>
      <c r="D40" s="227">
        <v>350000</v>
      </c>
      <c r="E40" s="227"/>
      <c r="F40" s="227"/>
      <c r="G40" s="227"/>
      <c r="H40" s="227">
        <f>D40</f>
        <v>350000</v>
      </c>
      <c r="I40" s="227"/>
      <c r="J40" s="227"/>
      <c r="K40" s="227"/>
      <c r="L40" s="227"/>
      <c r="M40" s="227"/>
      <c r="N40" s="227"/>
      <c r="O40" s="217" t="s">
        <v>365</v>
      </c>
      <c r="P40" s="236"/>
    </row>
    <row r="41" spans="1:17" s="167" customFormat="1" ht="42" hidden="1" customHeight="1" x14ac:dyDescent="0.25">
      <c r="A41" s="218"/>
      <c r="B41" s="225" t="s">
        <v>373</v>
      </c>
      <c r="C41" s="226" t="s">
        <v>326</v>
      </c>
      <c r="D41" s="227">
        <f>859918</f>
        <v>859918</v>
      </c>
      <c r="E41" s="227"/>
      <c r="F41" s="227"/>
      <c r="G41" s="227"/>
      <c r="H41" s="227">
        <f>D41</f>
        <v>859918</v>
      </c>
      <c r="I41" s="227"/>
      <c r="J41" s="227"/>
      <c r="K41" s="227"/>
      <c r="L41" s="227"/>
      <c r="M41" s="227"/>
      <c r="N41" s="227"/>
      <c r="O41" s="217" t="s">
        <v>374</v>
      </c>
      <c r="P41" s="236"/>
    </row>
    <row r="42" spans="1:17" s="167" customFormat="1" ht="38.25" hidden="1" customHeight="1" x14ac:dyDescent="0.25">
      <c r="A42" s="218"/>
      <c r="B42" s="225" t="s">
        <v>366</v>
      </c>
      <c r="C42" s="226" t="s">
        <v>353</v>
      </c>
      <c r="D42" s="227">
        <v>10000</v>
      </c>
      <c r="E42" s="227"/>
      <c r="F42" s="227"/>
      <c r="G42" s="227"/>
      <c r="H42" s="227">
        <f t="shared" ref="H42:H44" si="1">D42</f>
        <v>10000</v>
      </c>
      <c r="I42" s="227"/>
      <c r="J42" s="227"/>
      <c r="K42" s="227"/>
      <c r="L42" s="227"/>
      <c r="M42" s="227"/>
      <c r="N42" s="227"/>
      <c r="O42" s="217" t="s">
        <v>367</v>
      </c>
      <c r="P42" s="236"/>
    </row>
    <row r="43" spans="1:17" s="167" customFormat="1" ht="25.5" hidden="1" x14ac:dyDescent="0.25">
      <c r="A43" s="218"/>
      <c r="B43" s="225" t="s">
        <v>375</v>
      </c>
      <c r="C43" s="226" t="s">
        <v>328</v>
      </c>
      <c r="D43" s="227">
        <v>9045</v>
      </c>
      <c r="E43" s="227"/>
      <c r="F43" s="227"/>
      <c r="G43" s="227"/>
      <c r="H43" s="227">
        <f t="shared" si="1"/>
        <v>9045</v>
      </c>
      <c r="I43" s="227"/>
      <c r="J43" s="227"/>
      <c r="K43" s="227"/>
      <c r="L43" s="227"/>
      <c r="M43" s="227"/>
      <c r="N43" s="227"/>
      <c r="O43" s="217" t="s">
        <v>376</v>
      </c>
      <c r="P43" s="236"/>
    </row>
    <row r="44" spans="1:17" s="167" customFormat="1" ht="51" hidden="1" customHeight="1" x14ac:dyDescent="0.25">
      <c r="A44" s="218"/>
      <c r="B44" s="225" t="s">
        <v>377</v>
      </c>
      <c r="C44" s="226" t="s">
        <v>378</v>
      </c>
      <c r="D44" s="227">
        <v>85000</v>
      </c>
      <c r="E44" s="227"/>
      <c r="F44" s="227"/>
      <c r="G44" s="227"/>
      <c r="H44" s="227">
        <f t="shared" si="1"/>
        <v>85000</v>
      </c>
      <c r="I44" s="227"/>
      <c r="J44" s="227"/>
      <c r="K44" s="227"/>
      <c r="L44" s="227"/>
      <c r="M44" s="227"/>
      <c r="N44" s="227"/>
      <c r="O44" s="217" t="s">
        <v>379</v>
      </c>
      <c r="P44" s="236"/>
    </row>
    <row r="45" spans="1:17" s="167" customFormat="1" ht="35.25" hidden="1" customHeight="1" x14ac:dyDescent="0.25">
      <c r="A45" s="218"/>
      <c r="B45" s="225" t="s">
        <v>380</v>
      </c>
      <c r="C45" s="226" t="s">
        <v>354</v>
      </c>
      <c r="D45" s="227">
        <v>520700</v>
      </c>
      <c r="E45" s="227"/>
      <c r="F45" s="227"/>
      <c r="G45" s="227"/>
      <c r="H45" s="227"/>
      <c r="I45" s="227"/>
      <c r="J45" s="227">
        <f>D45</f>
        <v>520700</v>
      </c>
      <c r="K45" s="227"/>
      <c r="L45" s="227"/>
      <c r="M45" s="227"/>
      <c r="N45" s="227"/>
      <c r="O45" s="217" t="s">
        <v>381</v>
      </c>
      <c r="P45" s="236"/>
    </row>
    <row r="46" spans="1:17" s="167" customFormat="1" ht="51" hidden="1" customHeight="1" x14ac:dyDescent="0.25">
      <c r="A46" s="218"/>
      <c r="B46" s="225" t="s">
        <v>383</v>
      </c>
      <c r="C46" s="226" t="s">
        <v>329</v>
      </c>
      <c r="D46" s="227">
        <v>892700</v>
      </c>
      <c r="E46" s="227"/>
      <c r="F46" s="227"/>
      <c r="G46" s="227"/>
      <c r="H46" s="227"/>
      <c r="I46" s="227"/>
      <c r="J46" s="227"/>
      <c r="K46" s="227"/>
      <c r="L46" s="227"/>
      <c r="M46" s="227">
        <f>D46</f>
        <v>892700</v>
      </c>
      <c r="N46" s="227"/>
      <c r="O46" s="217" t="s">
        <v>384</v>
      </c>
      <c r="P46" s="236"/>
    </row>
    <row r="47" spans="1:17" s="167" customFormat="1" ht="31.5" hidden="1" customHeight="1" x14ac:dyDescent="0.25">
      <c r="A47" s="218"/>
      <c r="B47" s="225" t="s">
        <v>385</v>
      </c>
      <c r="C47" s="226" t="s">
        <v>386</v>
      </c>
      <c r="D47" s="227">
        <v>308900</v>
      </c>
      <c r="E47" s="227"/>
      <c r="F47" s="227"/>
      <c r="G47" s="227"/>
      <c r="H47" s="227"/>
      <c r="I47" s="227"/>
      <c r="J47" s="227"/>
      <c r="K47" s="227">
        <f>D47</f>
        <v>308900</v>
      </c>
      <c r="L47" s="227"/>
      <c r="M47" s="227"/>
      <c r="N47" s="227"/>
      <c r="O47" s="217" t="s">
        <v>387</v>
      </c>
      <c r="P47" s="236"/>
    </row>
    <row r="48" spans="1:17" s="167" customFormat="1" ht="31.5" hidden="1" x14ac:dyDescent="0.25">
      <c r="A48" s="218"/>
      <c r="B48" s="225" t="s">
        <v>388</v>
      </c>
      <c r="C48" s="226" t="s">
        <v>231</v>
      </c>
      <c r="D48" s="227">
        <v>277000</v>
      </c>
      <c r="E48" s="227"/>
      <c r="F48" s="227"/>
      <c r="G48" s="227"/>
      <c r="H48" s="227"/>
      <c r="I48" s="227">
        <f t="shared" ref="I48:I53" si="2">D48</f>
        <v>277000</v>
      </c>
      <c r="J48" s="227"/>
      <c r="K48" s="227"/>
      <c r="L48" s="227"/>
      <c r="M48" s="227"/>
      <c r="N48" s="227"/>
      <c r="O48" s="217" t="s">
        <v>389</v>
      </c>
      <c r="P48" s="236"/>
    </row>
    <row r="49" spans="1:16" s="167" customFormat="1" ht="84" hidden="1" customHeight="1" x14ac:dyDescent="0.25">
      <c r="A49" s="218"/>
      <c r="B49" s="225" t="s">
        <v>391</v>
      </c>
      <c r="C49" s="226" t="s">
        <v>361</v>
      </c>
      <c r="D49" s="227">
        <v>13890</v>
      </c>
      <c r="E49" s="227"/>
      <c r="F49" s="227"/>
      <c r="G49" s="227"/>
      <c r="H49" s="227"/>
      <c r="I49" s="227">
        <f t="shared" si="2"/>
        <v>13890</v>
      </c>
      <c r="J49" s="227"/>
      <c r="K49" s="227"/>
      <c r="L49" s="227"/>
      <c r="M49" s="227"/>
      <c r="N49" s="227"/>
      <c r="O49" s="217" t="s">
        <v>392</v>
      </c>
      <c r="P49" s="236"/>
    </row>
    <row r="50" spans="1:16" s="167" customFormat="1" ht="47.25" hidden="1" x14ac:dyDescent="0.25">
      <c r="A50" s="218"/>
      <c r="B50" s="225" t="s">
        <v>393</v>
      </c>
      <c r="C50" s="226" t="s">
        <v>361</v>
      </c>
      <c r="D50" s="227">
        <v>30580</v>
      </c>
      <c r="E50" s="227"/>
      <c r="F50" s="227"/>
      <c r="G50" s="227"/>
      <c r="H50" s="227"/>
      <c r="I50" s="227">
        <f t="shared" si="2"/>
        <v>30580</v>
      </c>
      <c r="J50" s="227"/>
      <c r="K50" s="227"/>
      <c r="L50" s="227"/>
      <c r="M50" s="227"/>
      <c r="N50" s="227"/>
      <c r="O50" s="217" t="s">
        <v>389</v>
      </c>
      <c r="P50" s="236"/>
    </row>
    <row r="51" spans="1:16" s="167" customFormat="1" ht="31.5" hidden="1" x14ac:dyDescent="0.25">
      <c r="A51" s="218"/>
      <c r="B51" s="225" t="s">
        <v>394</v>
      </c>
      <c r="C51" s="226" t="s">
        <v>361</v>
      </c>
      <c r="D51" s="227">
        <v>21070</v>
      </c>
      <c r="E51" s="227"/>
      <c r="F51" s="227"/>
      <c r="G51" s="227"/>
      <c r="H51" s="227"/>
      <c r="I51" s="227">
        <f t="shared" si="2"/>
        <v>21070</v>
      </c>
      <c r="J51" s="227"/>
      <c r="K51" s="227"/>
      <c r="L51" s="227"/>
      <c r="M51" s="227"/>
      <c r="N51" s="227"/>
      <c r="O51" s="217" t="s">
        <v>395</v>
      </c>
      <c r="P51" s="236"/>
    </row>
    <row r="52" spans="1:16" s="167" customFormat="1" ht="31.5" hidden="1" x14ac:dyDescent="0.25">
      <c r="A52" s="218"/>
      <c r="B52" s="225" t="s">
        <v>396</v>
      </c>
      <c r="C52" s="226" t="s">
        <v>361</v>
      </c>
      <c r="D52" s="227">
        <v>24790</v>
      </c>
      <c r="E52" s="227"/>
      <c r="F52" s="227"/>
      <c r="G52" s="227"/>
      <c r="H52" s="227"/>
      <c r="I52" s="227">
        <f t="shared" si="2"/>
        <v>24790</v>
      </c>
      <c r="J52" s="227"/>
      <c r="K52" s="227"/>
      <c r="L52" s="227"/>
      <c r="M52" s="227"/>
      <c r="N52" s="227"/>
      <c r="O52" s="217" t="s">
        <v>397</v>
      </c>
      <c r="P52" s="236"/>
    </row>
    <row r="53" spans="1:16" s="167" customFormat="1" ht="31.5" hidden="1" x14ac:dyDescent="0.25">
      <c r="A53" s="218"/>
      <c r="B53" s="225" t="s">
        <v>398</v>
      </c>
      <c r="C53" s="226" t="s">
        <v>361</v>
      </c>
      <c r="D53" s="227">
        <v>59337</v>
      </c>
      <c r="E53" s="227"/>
      <c r="F53" s="227"/>
      <c r="G53" s="227"/>
      <c r="H53" s="227"/>
      <c r="I53" s="227">
        <f t="shared" si="2"/>
        <v>59337</v>
      </c>
      <c r="J53" s="227"/>
      <c r="K53" s="227"/>
      <c r="L53" s="227"/>
      <c r="M53" s="227"/>
      <c r="N53" s="227"/>
      <c r="O53" s="217" t="s">
        <v>399</v>
      </c>
      <c r="P53" s="236"/>
    </row>
    <row r="54" spans="1:16" s="167" customFormat="1" ht="47.25" hidden="1" x14ac:dyDescent="0.25">
      <c r="A54" s="218"/>
      <c r="B54" s="225" t="s">
        <v>400</v>
      </c>
      <c r="C54" s="226" t="s">
        <v>345</v>
      </c>
      <c r="D54" s="227">
        <v>318000</v>
      </c>
      <c r="E54" s="227"/>
      <c r="F54" s="227">
        <f>D54</f>
        <v>318000</v>
      </c>
      <c r="G54" s="227"/>
      <c r="H54" s="227"/>
      <c r="I54" s="227"/>
      <c r="J54" s="227"/>
      <c r="K54" s="227"/>
      <c r="L54" s="227"/>
      <c r="M54" s="227"/>
      <c r="N54" s="227"/>
      <c r="O54" s="217" t="s">
        <v>401</v>
      </c>
      <c r="P54" s="236"/>
    </row>
    <row r="55" spans="1:16" s="167" customFormat="1" ht="31.5" hidden="1" x14ac:dyDescent="0.25">
      <c r="A55" s="218"/>
      <c r="B55" s="225" t="s">
        <v>402</v>
      </c>
      <c r="C55" s="226" t="s">
        <v>403</v>
      </c>
      <c r="D55" s="227">
        <v>33500</v>
      </c>
      <c r="E55" s="227"/>
      <c r="F55" s="227"/>
      <c r="G55" s="227"/>
      <c r="H55" s="227">
        <f>D55</f>
        <v>33500</v>
      </c>
      <c r="I55" s="227"/>
      <c r="J55" s="227"/>
      <c r="K55" s="227"/>
      <c r="L55" s="227"/>
      <c r="M55" s="227"/>
      <c r="N55" s="227"/>
      <c r="O55" s="217" t="s">
        <v>404</v>
      </c>
      <c r="P55" s="236"/>
    </row>
    <row r="56" spans="1:16" s="167" customFormat="1" ht="31.5" hidden="1" x14ac:dyDescent="0.25">
      <c r="A56" s="218"/>
      <c r="B56" s="225" t="s">
        <v>405</v>
      </c>
      <c r="C56" s="226" t="s">
        <v>332</v>
      </c>
      <c r="D56" s="227">
        <f>243512-14289</f>
        <v>229223</v>
      </c>
      <c r="E56" s="227"/>
      <c r="F56" s="227"/>
      <c r="G56" s="227"/>
      <c r="H56" s="227">
        <f>D56</f>
        <v>229223</v>
      </c>
      <c r="I56" s="227"/>
      <c r="J56" s="227"/>
      <c r="K56" s="227"/>
      <c r="L56" s="227"/>
      <c r="M56" s="227"/>
      <c r="N56" s="227"/>
      <c r="O56" s="217" t="s">
        <v>406</v>
      </c>
      <c r="P56" s="236"/>
    </row>
    <row r="57" spans="1:16" s="167" customFormat="1" ht="31.5" hidden="1" x14ac:dyDescent="0.25">
      <c r="A57" s="218"/>
      <c r="B57" s="225" t="s">
        <v>407</v>
      </c>
      <c r="C57" s="226" t="s">
        <v>326</v>
      </c>
      <c r="D57" s="227">
        <v>95000</v>
      </c>
      <c r="E57" s="227"/>
      <c r="F57" s="227"/>
      <c r="G57" s="227"/>
      <c r="H57" s="227">
        <f>D57</f>
        <v>95000</v>
      </c>
      <c r="I57" s="227"/>
      <c r="J57" s="227"/>
      <c r="K57" s="227"/>
      <c r="L57" s="227"/>
      <c r="M57" s="227"/>
      <c r="N57" s="227"/>
      <c r="O57" s="217" t="s">
        <v>408</v>
      </c>
      <c r="P57" s="236"/>
    </row>
    <row r="58" spans="1:16" s="167" customFormat="1" ht="25.5" hidden="1" x14ac:dyDescent="0.25">
      <c r="A58" s="218"/>
      <c r="B58" s="225" t="s">
        <v>409</v>
      </c>
      <c r="C58" s="226" t="s">
        <v>33</v>
      </c>
      <c r="D58" s="227">
        <v>473000</v>
      </c>
      <c r="E58" s="227"/>
      <c r="F58" s="227"/>
      <c r="G58" s="227"/>
      <c r="H58" s="227">
        <f>D58</f>
        <v>473000</v>
      </c>
      <c r="I58" s="227"/>
      <c r="J58" s="227"/>
      <c r="K58" s="227"/>
      <c r="L58" s="227"/>
      <c r="M58" s="227"/>
      <c r="N58" s="227"/>
      <c r="O58" s="217" t="s">
        <v>410</v>
      </c>
      <c r="P58" s="236"/>
    </row>
    <row r="59" spans="1:16" s="167" customFormat="1" ht="51.75" hidden="1" customHeight="1" x14ac:dyDescent="0.25">
      <c r="A59" s="218"/>
      <c r="B59" s="225" t="s">
        <v>411</v>
      </c>
      <c r="C59" s="226" t="s">
        <v>361</v>
      </c>
      <c r="D59" s="227">
        <v>58520</v>
      </c>
      <c r="E59" s="227"/>
      <c r="F59" s="227"/>
      <c r="G59" s="227"/>
      <c r="H59" s="227"/>
      <c r="I59" s="227">
        <f>D59</f>
        <v>58520</v>
      </c>
      <c r="J59" s="227"/>
      <c r="K59" s="227"/>
      <c r="L59" s="227"/>
      <c r="M59" s="227"/>
      <c r="N59" s="227"/>
      <c r="O59" s="217" t="s">
        <v>412</v>
      </c>
      <c r="P59" s="236"/>
    </row>
    <row r="60" spans="1:16" s="167" customFormat="1" ht="31.5" hidden="1" x14ac:dyDescent="0.25">
      <c r="A60" s="218"/>
      <c r="B60" s="225" t="s">
        <v>413</v>
      </c>
      <c r="C60" s="226" t="s">
        <v>353</v>
      </c>
      <c r="D60" s="227">
        <v>82000</v>
      </c>
      <c r="E60" s="227"/>
      <c r="F60" s="227"/>
      <c r="G60" s="227"/>
      <c r="H60" s="227">
        <f>D60</f>
        <v>82000</v>
      </c>
      <c r="I60" s="227"/>
      <c r="J60" s="227"/>
      <c r="K60" s="227"/>
      <c r="L60" s="227"/>
      <c r="M60" s="227"/>
      <c r="N60" s="227"/>
      <c r="O60" s="217" t="s">
        <v>414</v>
      </c>
      <c r="P60" s="236"/>
    </row>
    <row r="61" spans="1:16" s="167" customFormat="1" ht="31.5" hidden="1" x14ac:dyDescent="0.25">
      <c r="A61" s="218"/>
      <c r="B61" s="225" t="s">
        <v>415</v>
      </c>
      <c r="C61" s="226" t="s">
        <v>345</v>
      </c>
      <c r="D61" s="227">
        <v>38700</v>
      </c>
      <c r="E61" s="227"/>
      <c r="F61" s="227">
        <f>D61</f>
        <v>38700</v>
      </c>
      <c r="G61" s="227"/>
      <c r="H61" s="227"/>
      <c r="I61" s="227"/>
      <c r="J61" s="227"/>
      <c r="K61" s="227"/>
      <c r="L61" s="227"/>
      <c r="M61" s="227"/>
      <c r="N61" s="227"/>
      <c r="O61" s="217" t="s">
        <v>416</v>
      </c>
      <c r="P61" s="236"/>
    </row>
    <row r="62" spans="1:16" s="167" customFormat="1" ht="25.5" hidden="1" x14ac:dyDescent="0.25">
      <c r="A62" s="218"/>
      <c r="B62" s="225" t="s">
        <v>417</v>
      </c>
      <c r="C62" s="226" t="s">
        <v>386</v>
      </c>
      <c r="D62" s="227">
        <v>69000</v>
      </c>
      <c r="E62" s="227"/>
      <c r="F62" s="227"/>
      <c r="G62" s="227"/>
      <c r="H62" s="227"/>
      <c r="I62" s="227"/>
      <c r="J62" s="227"/>
      <c r="K62" s="227"/>
      <c r="L62" s="227">
        <f>D62</f>
        <v>69000</v>
      </c>
      <c r="M62" s="227"/>
      <c r="N62" s="227"/>
      <c r="O62" s="217" t="s">
        <v>418</v>
      </c>
      <c r="P62" s="236"/>
    </row>
    <row r="63" spans="1:16" s="167" customFormat="1" ht="37.5" hidden="1" customHeight="1" x14ac:dyDescent="0.25">
      <c r="A63" s="218"/>
      <c r="B63" s="225" t="s">
        <v>420</v>
      </c>
      <c r="C63" s="226" t="s">
        <v>386</v>
      </c>
      <c r="D63" s="227">
        <v>130000</v>
      </c>
      <c r="E63" s="227"/>
      <c r="F63" s="227"/>
      <c r="G63" s="227"/>
      <c r="H63" s="227"/>
      <c r="I63" s="227"/>
      <c r="J63" s="227"/>
      <c r="K63" s="227"/>
      <c r="L63" s="227">
        <f>D63</f>
        <v>130000</v>
      </c>
      <c r="M63" s="227"/>
      <c r="N63" s="227"/>
      <c r="O63" s="217" t="s">
        <v>421</v>
      </c>
      <c r="P63" s="236"/>
    </row>
    <row r="64" spans="1:16" s="167" customFormat="1" ht="25.5" hidden="1" x14ac:dyDescent="0.25">
      <c r="A64" s="218"/>
      <c r="B64" s="225" t="s">
        <v>422</v>
      </c>
      <c r="C64" s="226" t="s">
        <v>350</v>
      </c>
      <c r="D64" s="227">
        <v>69000</v>
      </c>
      <c r="E64" s="227"/>
      <c r="F64" s="227"/>
      <c r="G64" s="227"/>
      <c r="H64" s="227">
        <f>D64</f>
        <v>69000</v>
      </c>
      <c r="I64" s="227"/>
      <c r="J64" s="227"/>
      <c r="K64" s="227"/>
      <c r="L64" s="227"/>
      <c r="M64" s="227"/>
      <c r="N64" s="227"/>
      <c r="O64" s="217" t="s">
        <v>423</v>
      </c>
      <c r="P64" s="236"/>
    </row>
    <row r="65" spans="1:16" s="167" customFormat="1" ht="31.5" hidden="1" x14ac:dyDescent="0.25">
      <c r="A65" s="218"/>
      <c r="B65" s="225" t="s">
        <v>424</v>
      </c>
      <c r="C65" s="226" t="s">
        <v>425</v>
      </c>
      <c r="D65" s="227">
        <v>64350</v>
      </c>
      <c r="E65" s="227"/>
      <c r="F65" s="227"/>
      <c r="G65" s="227"/>
      <c r="H65" s="227">
        <f>D65</f>
        <v>64350</v>
      </c>
      <c r="I65" s="227"/>
      <c r="J65" s="227"/>
      <c r="K65" s="227"/>
      <c r="L65" s="227"/>
      <c r="M65" s="227"/>
      <c r="N65" s="227"/>
      <c r="O65" s="217" t="s">
        <v>426</v>
      </c>
      <c r="P65" s="236"/>
    </row>
    <row r="66" spans="1:16" s="167" customFormat="1" ht="31.5" hidden="1" x14ac:dyDescent="0.25">
      <c r="A66" s="218"/>
      <c r="B66" s="225" t="s">
        <v>427</v>
      </c>
      <c r="C66" s="226" t="s">
        <v>350</v>
      </c>
      <c r="D66" s="227">
        <v>230000</v>
      </c>
      <c r="E66" s="227"/>
      <c r="F66" s="227"/>
      <c r="G66" s="227"/>
      <c r="H66" s="227">
        <f>D66</f>
        <v>230000</v>
      </c>
      <c r="I66" s="227"/>
      <c r="J66" s="227"/>
      <c r="K66" s="227"/>
      <c r="L66" s="227"/>
      <c r="M66" s="227"/>
      <c r="N66" s="227"/>
      <c r="O66" s="217" t="s">
        <v>428</v>
      </c>
      <c r="P66" s="236"/>
    </row>
    <row r="67" spans="1:16" s="167" customFormat="1" ht="47.25" hidden="1" x14ac:dyDescent="0.25">
      <c r="A67" s="218"/>
      <c r="B67" s="225" t="s">
        <v>429</v>
      </c>
      <c r="C67" s="226" t="s">
        <v>154</v>
      </c>
      <c r="D67" s="227">
        <v>150000</v>
      </c>
      <c r="E67" s="227">
        <f>D67</f>
        <v>150000</v>
      </c>
      <c r="F67" s="227"/>
      <c r="G67" s="227"/>
      <c r="H67" s="227"/>
      <c r="I67" s="227"/>
      <c r="J67" s="227"/>
      <c r="K67" s="227"/>
      <c r="L67" s="227"/>
      <c r="M67" s="227"/>
      <c r="N67" s="227"/>
      <c r="O67" s="217" t="s">
        <v>430</v>
      </c>
      <c r="P67" s="236"/>
    </row>
    <row r="68" spans="1:16" s="167" customFormat="1" ht="66" hidden="1" customHeight="1" x14ac:dyDescent="0.25">
      <c r="A68" s="218"/>
      <c r="B68" s="225" t="s">
        <v>431</v>
      </c>
      <c r="C68" s="226" t="s">
        <v>326</v>
      </c>
      <c r="D68" s="227">
        <v>67145</v>
      </c>
      <c r="E68" s="227"/>
      <c r="F68" s="227"/>
      <c r="G68" s="227"/>
      <c r="H68" s="227">
        <f>D68</f>
        <v>67145</v>
      </c>
      <c r="I68" s="227"/>
      <c r="J68" s="227"/>
      <c r="K68" s="227"/>
      <c r="L68" s="227"/>
      <c r="M68" s="227"/>
      <c r="N68" s="227"/>
      <c r="O68" s="217" t="s">
        <v>432</v>
      </c>
      <c r="P68" s="236"/>
    </row>
    <row r="69" spans="1:16" s="167" customFormat="1" ht="53.25" hidden="1" customHeight="1" x14ac:dyDescent="0.25">
      <c r="A69" s="218"/>
      <c r="B69" s="225" t="s">
        <v>433</v>
      </c>
      <c r="C69" s="226" t="s">
        <v>113</v>
      </c>
      <c r="D69" s="227">
        <v>479595</v>
      </c>
      <c r="E69" s="227"/>
      <c r="F69" s="227"/>
      <c r="G69" s="227"/>
      <c r="H69" s="227">
        <f>D69</f>
        <v>479595</v>
      </c>
      <c r="I69" s="227"/>
      <c r="J69" s="227"/>
      <c r="K69" s="227"/>
      <c r="L69" s="227"/>
      <c r="M69" s="227"/>
      <c r="N69" s="227"/>
      <c r="O69" s="217" t="s">
        <v>434</v>
      </c>
      <c r="P69" s="236"/>
    </row>
    <row r="70" spans="1:16" s="167" customFormat="1" ht="50.25" hidden="1" customHeight="1" x14ac:dyDescent="0.25">
      <c r="A70" s="218"/>
      <c r="B70" s="225" t="s">
        <v>435</v>
      </c>
      <c r="C70" s="226" t="s">
        <v>345</v>
      </c>
      <c r="D70" s="227">
        <v>93000</v>
      </c>
      <c r="E70" s="227"/>
      <c r="F70" s="227">
        <f>D70</f>
        <v>93000</v>
      </c>
      <c r="G70" s="227"/>
      <c r="H70" s="227"/>
      <c r="I70" s="227"/>
      <c r="J70" s="227"/>
      <c r="K70" s="227"/>
      <c r="L70" s="227"/>
      <c r="M70" s="227"/>
      <c r="N70" s="227"/>
      <c r="O70" s="217" t="s">
        <v>436</v>
      </c>
      <c r="P70" s="236"/>
    </row>
    <row r="71" spans="1:16" s="167" customFormat="1" ht="50.25" hidden="1" customHeight="1" x14ac:dyDescent="0.25">
      <c r="A71" s="218"/>
      <c r="B71" s="225" t="s">
        <v>437</v>
      </c>
      <c r="C71" s="226" t="s">
        <v>361</v>
      </c>
      <c r="D71" s="227">
        <v>19700</v>
      </c>
      <c r="E71" s="227"/>
      <c r="F71" s="227"/>
      <c r="G71" s="227"/>
      <c r="H71" s="227"/>
      <c r="I71" s="227">
        <f>D71</f>
        <v>19700</v>
      </c>
      <c r="J71" s="227"/>
      <c r="K71" s="227"/>
      <c r="L71" s="227"/>
      <c r="M71" s="227"/>
      <c r="N71" s="227"/>
      <c r="O71" s="217" t="s">
        <v>438</v>
      </c>
      <c r="P71" s="236"/>
    </row>
    <row r="72" spans="1:16" s="167" customFormat="1" ht="18.75" x14ac:dyDescent="0.25">
      <c r="P72" s="229"/>
    </row>
    <row r="73" spans="1:16" s="167" customFormat="1" ht="18.75" x14ac:dyDescent="0.25">
      <c r="P73" s="229"/>
    </row>
    <row r="74" spans="1:16" s="167" customFormat="1" ht="18.75" x14ac:dyDescent="0.25">
      <c r="P74" s="229"/>
    </row>
    <row r="75" spans="1:16" s="167" customFormat="1" ht="18.75" x14ac:dyDescent="0.25">
      <c r="P75" s="229"/>
    </row>
    <row r="76" spans="1:16" x14ac:dyDescent="0.25">
      <c r="B76" s="159"/>
      <c r="D76" s="156"/>
    </row>
    <row r="77" spans="1:16" x14ac:dyDescent="0.25">
      <c r="B77" s="159"/>
      <c r="D77" s="156"/>
    </row>
    <row r="78" spans="1:16" x14ac:dyDescent="0.25">
      <c r="B78" s="159"/>
      <c r="D78" s="156"/>
    </row>
    <row r="79" spans="1:16" x14ac:dyDescent="0.25">
      <c r="B79" s="159"/>
      <c r="D79" s="156"/>
    </row>
    <row r="80" spans="1:16" x14ac:dyDescent="0.25">
      <c r="B80" s="159"/>
      <c r="D80" s="156"/>
    </row>
    <row r="81" spans="2:4" x14ac:dyDescent="0.25">
      <c r="B81" s="159"/>
      <c r="D81" s="156"/>
    </row>
    <row r="82" spans="2:4" x14ac:dyDescent="0.25">
      <c r="B82" s="159"/>
      <c r="D82" s="156"/>
    </row>
    <row r="83" spans="2:4" x14ac:dyDescent="0.25">
      <c r="B83" s="159"/>
      <c r="D83" s="156"/>
    </row>
    <row r="84" spans="2:4" x14ac:dyDescent="0.25">
      <c r="B84" s="159"/>
      <c r="D84" s="156"/>
    </row>
    <row r="85" spans="2:4" x14ac:dyDescent="0.25">
      <c r="B85" s="159"/>
      <c r="D85" s="156"/>
    </row>
    <row r="86" spans="2:4" x14ac:dyDescent="0.25">
      <c r="B86" s="159"/>
      <c r="D86" s="156"/>
    </row>
    <row r="87" spans="2:4" x14ac:dyDescent="0.25">
      <c r="B87" s="159"/>
      <c r="D87" s="156"/>
    </row>
    <row r="88" spans="2:4" x14ac:dyDescent="0.25">
      <c r="B88" s="159"/>
      <c r="D88" s="156"/>
    </row>
    <row r="89" spans="2:4" x14ac:dyDescent="0.25">
      <c r="B89" s="159"/>
      <c r="D89" s="156"/>
    </row>
    <row r="90" spans="2:4" x14ac:dyDescent="0.25">
      <c r="B90" s="159"/>
      <c r="D90" s="156"/>
    </row>
    <row r="91" spans="2:4" x14ac:dyDescent="0.25">
      <c r="B91" s="159"/>
    </row>
    <row r="92" spans="2:4" x14ac:dyDescent="0.25">
      <c r="B92" s="159"/>
    </row>
    <row r="93" spans="2:4" x14ac:dyDescent="0.25">
      <c r="B93" s="159"/>
    </row>
    <row r="94" spans="2:4" x14ac:dyDescent="0.25">
      <c r="B94" s="159"/>
    </row>
    <row r="95" spans="2:4" x14ac:dyDescent="0.25">
      <c r="B95" s="159"/>
    </row>
    <row r="96" spans="2:4" x14ac:dyDescent="0.25">
      <c r="B96" s="159"/>
    </row>
    <row r="97" spans="2:2" x14ac:dyDescent="0.25">
      <c r="B97" s="159"/>
    </row>
    <row r="98" spans="2:2" x14ac:dyDescent="0.25">
      <c r="B98" s="159"/>
    </row>
  </sheetData>
  <mergeCells count="8">
    <mergeCell ref="A2:O2"/>
    <mergeCell ref="A3:O3"/>
    <mergeCell ref="A5:A6"/>
    <mergeCell ref="B5:B6"/>
    <mergeCell ref="C5:C6"/>
    <mergeCell ref="D5:D6"/>
    <mergeCell ref="E5:N5"/>
    <mergeCell ref="O5:O6"/>
  </mergeCells>
  <pageMargins left="0" right="0" top="0" bottom="0" header="0.3" footer="0.3"/>
  <pageSetup paperSize="9" scale="86" orientation="landscape"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429"/>
  <sheetViews>
    <sheetView topLeftCell="A6" zoomScale="80" zoomScaleNormal="80" workbookViewId="0">
      <pane xSplit="2" ySplit="3" topLeftCell="D99" activePane="bottomRight" state="frozen"/>
      <selection activeCell="A6" sqref="A6"/>
      <selection pane="topRight" activeCell="C6" sqref="C6"/>
      <selection pane="bottomLeft" activeCell="A9" sqref="A9"/>
      <selection pane="bottomRight" activeCell="M110" sqref="M110"/>
    </sheetView>
  </sheetViews>
  <sheetFormatPr defaultRowHeight="15.75" x14ac:dyDescent="0.25"/>
  <cols>
    <col min="1" max="1" width="4.875" style="79" bestFit="1" customWidth="1"/>
    <col min="2" max="2" width="52" style="13" customWidth="1"/>
    <col min="3" max="3" width="6.375" style="13" bestFit="1" customWidth="1"/>
    <col min="4" max="6" width="12" style="75" customWidth="1"/>
    <col min="7" max="7" width="12.125" style="75" bestFit="1" customWidth="1"/>
    <col min="8" max="8" width="12" style="75" customWidth="1"/>
    <col min="9" max="9" width="12.125" style="75" bestFit="1" customWidth="1"/>
    <col min="10" max="10" width="12.125" style="76" bestFit="1" customWidth="1"/>
    <col min="11" max="11" width="11" style="76" bestFit="1" customWidth="1"/>
    <col min="12" max="12" width="5.25" style="42" customWidth="1"/>
    <col min="13" max="13" width="14.75" style="76" customWidth="1"/>
    <col min="14" max="14" width="11.25" style="76" bestFit="1" customWidth="1"/>
    <col min="15" max="15" width="9.5" style="76" customWidth="1"/>
    <col min="16" max="16" width="8.375" style="76" customWidth="1"/>
    <col min="17" max="17" width="7.5" style="76" customWidth="1"/>
    <col min="18" max="18" width="10.625" style="13" customWidth="1"/>
    <col min="19" max="19" width="13.25" style="126" customWidth="1"/>
    <col min="20" max="21" width="5.625" style="13" customWidth="1"/>
    <col min="22" max="22" width="8.75" style="13" bestFit="1" customWidth="1"/>
    <col min="23" max="16384" width="9" style="13"/>
  </cols>
  <sheetData>
    <row r="1" spans="1:22" x14ac:dyDescent="0.25">
      <c r="A1" s="2" t="s">
        <v>158</v>
      </c>
    </row>
    <row r="2" spans="1:22" s="1" customFormat="1" ht="18.75" x14ac:dyDescent="0.25">
      <c r="A2" s="133" t="s">
        <v>159</v>
      </c>
      <c r="B2" s="80"/>
      <c r="C2" s="80"/>
      <c r="D2" s="80"/>
      <c r="E2" s="80"/>
      <c r="F2" s="80"/>
      <c r="G2" s="80"/>
      <c r="H2" s="80"/>
      <c r="I2" s="80"/>
      <c r="J2" s="80"/>
      <c r="K2" s="80"/>
      <c r="L2" s="292"/>
      <c r="M2" s="80"/>
      <c r="N2" s="80"/>
      <c r="O2" s="80"/>
      <c r="P2" s="80"/>
      <c r="Q2" s="80"/>
      <c r="S2" s="127"/>
    </row>
    <row r="3" spans="1:22" s="1" customFormat="1" ht="30" customHeight="1" x14ac:dyDescent="0.25">
      <c r="A3" s="356" t="s">
        <v>474</v>
      </c>
      <c r="B3" s="356"/>
      <c r="C3" s="356"/>
      <c r="D3" s="356"/>
      <c r="E3" s="356"/>
      <c r="F3" s="356"/>
      <c r="G3" s="356"/>
      <c r="H3" s="356"/>
      <c r="I3" s="356"/>
      <c r="J3" s="356"/>
      <c r="K3" s="162"/>
      <c r="L3" s="292"/>
      <c r="M3" s="162"/>
      <c r="N3" s="162"/>
      <c r="O3" s="162"/>
      <c r="P3" s="162"/>
      <c r="Q3" s="162"/>
      <c r="S3" s="127"/>
    </row>
    <row r="4" spans="1:22" s="1" customFormat="1" ht="15" customHeight="1" x14ac:dyDescent="0.25">
      <c r="A4" s="357" t="s">
        <v>157</v>
      </c>
      <c r="B4" s="358"/>
      <c r="C4" s="358"/>
      <c r="D4" s="358"/>
      <c r="E4" s="358"/>
      <c r="F4" s="358"/>
      <c r="G4" s="358"/>
      <c r="H4" s="358"/>
      <c r="I4" s="358"/>
      <c r="J4" s="358"/>
      <c r="K4" s="164"/>
      <c r="L4" s="293"/>
      <c r="M4" s="164"/>
      <c r="N4" s="164"/>
      <c r="O4" s="164"/>
      <c r="P4" s="164"/>
      <c r="Q4" s="164"/>
      <c r="S4" s="127"/>
    </row>
    <row r="5" spans="1:22" s="1" customFormat="1" ht="15" customHeight="1" x14ac:dyDescent="0.25">
      <c r="A5" s="163"/>
      <c r="B5" s="164"/>
      <c r="C5" s="164"/>
      <c r="E5" s="201"/>
      <c r="F5" s="201"/>
      <c r="G5" s="201"/>
      <c r="H5" s="201"/>
      <c r="I5" s="201"/>
      <c r="J5" s="201"/>
      <c r="K5" s="202" t="s">
        <v>0</v>
      </c>
      <c r="L5" s="294"/>
      <c r="M5" s="165"/>
      <c r="N5" s="165"/>
      <c r="O5" s="165"/>
      <c r="P5" s="165"/>
      <c r="Q5" s="165"/>
      <c r="S5" s="127"/>
    </row>
    <row r="6" spans="1:22" s="1" customFormat="1" ht="15" customHeight="1" x14ac:dyDescent="0.25">
      <c r="A6" s="349" t="s">
        <v>1</v>
      </c>
      <c r="B6" s="349" t="s">
        <v>2</v>
      </c>
      <c r="C6" s="349" t="s">
        <v>161</v>
      </c>
      <c r="D6" s="349" t="s">
        <v>164</v>
      </c>
      <c r="E6" s="349"/>
      <c r="F6" s="349"/>
      <c r="G6" s="349"/>
      <c r="H6" s="349" t="s">
        <v>476</v>
      </c>
      <c r="I6" s="349" t="s">
        <v>169</v>
      </c>
      <c r="J6" s="359" t="s">
        <v>170</v>
      </c>
      <c r="K6" s="359"/>
      <c r="L6" s="295"/>
      <c r="M6" s="208"/>
      <c r="N6" s="209"/>
      <c r="O6" s="209"/>
      <c r="P6" s="209"/>
      <c r="Q6" s="209"/>
      <c r="R6" s="348" t="s">
        <v>173</v>
      </c>
      <c r="S6" s="127"/>
    </row>
    <row r="7" spans="1:22" s="2" customFormat="1" ht="47.25" x14ac:dyDescent="0.25">
      <c r="A7" s="349"/>
      <c r="B7" s="349"/>
      <c r="C7" s="349"/>
      <c r="D7" s="160" t="s">
        <v>475</v>
      </c>
      <c r="E7" s="160" t="s">
        <v>166</v>
      </c>
      <c r="F7" s="160" t="s">
        <v>165</v>
      </c>
      <c r="G7" s="160" t="s">
        <v>167</v>
      </c>
      <c r="H7" s="349"/>
      <c r="I7" s="349"/>
      <c r="J7" s="160" t="s">
        <v>171</v>
      </c>
      <c r="K7" s="160" t="s">
        <v>172</v>
      </c>
      <c r="L7" s="296"/>
      <c r="M7" s="270">
        <f>G345*1000-[1]ROFA2024_26.08.2024!$I$709</f>
        <v>2578946200</v>
      </c>
      <c r="N7" s="210"/>
      <c r="O7" s="210"/>
      <c r="P7" s="210"/>
      <c r="Q7" s="210"/>
      <c r="R7" s="348"/>
      <c r="S7" s="128" t="s">
        <v>300</v>
      </c>
    </row>
    <row r="8" spans="1:22" s="6" customFormat="1" x14ac:dyDescent="0.25">
      <c r="A8" s="3" t="s">
        <v>3</v>
      </c>
      <c r="B8" s="4" t="s">
        <v>4</v>
      </c>
      <c r="C8" s="4" t="s">
        <v>162</v>
      </c>
      <c r="D8" s="4">
        <v>1</v>
      </c>
      <c r="E8" s="4">
        <v>2</v>
      </c>
      <c r="F8" s="4">
        <v>3</v>
      </c>
      <c r="G8" s="4" t="s">
        <v>177</v>
      </c>
      <c r="H8" s="4">
        <v>5</v>
      </c>
      <c r="I8" s="4" t="s">
        <v>178</v>
      </c>
      <c r="J8" s="4">
        <v>7</v>
      </c>
      <c r="K8" s="90" t="s">
        <v>179</v>
      </c>
      <c r="L8" s="291" t="s">
        <v>343</v>
      </c>
      <c r="M8" s="211" t="s">
        <v>338</v>
      </c>
      <c r="N8" s="211" t="s">
        <v>341</v>
      </c>
      <c r="O8" s="211" t="s">
        <v>340</v>
      </c>
      <c r="P8" s="211" t="s">
        <v>342</v>
      </c>
      <c r="Q8" s="211" t="s">
        <v>339</v>
      </c>
      <c r="R8" s="5"/>
      <c r="S8" s="129"/>
      <c r="U8" s="7"/>
    </row>
    <row r="9" spans="1:22" s="9" customFormat="1" ht="25.5" customHeight="1" x14ac:dyDescent="0.25">
      <c r="A9" s="86"/>
      <c r="B9" s="86" t="s">
        <v>5</v>
      </c>
      <c r="C9" s="86"/>
      <c r="D9" s="87">
        <f t="shared" ref="D9:J9" si="0">D10+D201+D301+D369+D391+D413</f>
        <v>0</v>
      </c>
      <c r="E9" s="87">
        <f t="shared" si="0"/>
        <v>58348587</v>
      </c>
      <c r="F9" s="87">
        <f t="shared" si="0"/>
        <v>30733507.982000001</v>
      </c>
      <c r="G9" s="87">
        <f t="shared" si="0"/>
        <v>89082094.982000008</v>
      </c>
      <c r="H9" s="87">
        <f t="shared" si="0"/>
        <v>56149678.853999995</v>
      </c>
      <c r="I9" s="87">
        <f t="shared" si="0"/>
        <v>32932416.127999999</v>
      </c>
      <c r="J9" s="87">
        <f t="shared" si="0"/>
        <v>31653263.527999997</v>
      </c>
      <c r="K9" s="87">
        <f t="shared" ref="K9:Q9" si="1">ROUND(K10+K201+K301+K369+K391+K413,0)</f>
        <v>1279153</v>
      </c>
      <c r="L9" s="297">
        <f t="shared" si="1"/>
        <v>0</v>
      </c>
      <c r="M9" s="87">
        <f t="shared" si="1"/>
        <v>136954</v>
      </c>
      <c r="N9" s="87">
        <f t="shared" si="1"/>
        <v>855592</v>
      </c>
      <c r="O9" s="87">
        <f t="shared" si="1"/>
        <v>245742</v>
      </c>
      <c r="P9" s="87">
        <f t="shared" si="1"/>
        <v>40865</v>
      </c>
      <c r="Q9" s="87">
        <f t="shared" si="1"/>
        <v>0</v>
      </c>
      <c r="R9" s="8"/>
      <c r="S9" s="130"/>
      <c r="T9" s="155">
        <f>G9-SUM(D9:F9)</f>
        <v>0</v>
      </c>
      <c r="U9" s="155">
        <f>G9-H9-I9</f>
        <v>0</v>
      </c>
      <c r="V9" s="155">
        <f>I9-J9-K9</f>
        <v>-0.39999999850988388</v>
      </c>
    </row>
    <row r="10" spans="1:22" ht="23.25" customHeight="1" x14ac:dyDescent="0.25">
      <c r="A10" s="10" t="s">
        <v>6</v>
      </c>
      <c r="B10" s="11" t="s">
        <v>7</v>
      </c>
      <c r="C10" s="11"/>
      <c r="D10" s="12">
        <f t="shared" ref="D10:Q10" si="2">D11+D48+D60+D82+D98+D119+D128+D132+D147+D164+D178+D192</f>
        <v>0</v>
      </c>
      <c r="E10" s="12">
        <f t="shared" si="2"/>
        <v>19144463</v>
      </c>
      <c r="F10" s="12">
        <f t="shared" si="2"/>
        <v>12701552.568</v>
      </c>
      <c r="G10" s="12">
        <f t="shared" si="2"/>
        <v>31846015.568</v>
      </c>
      <c r="H10" s="12">
        <f t="shared" si="2"/>
        <v>16765357.780000001</v>
      </c>
      <c r="I10" s="12">
        <f t="shared" si="2"/>
        <v>15080657.787999999</v>
      </c>
      <c r="J10" s="12">
        <f t="shared" si="2"/>
        <v>14963815.787999999</v>
      </c>
      <c r="K10" s="12">
        <f t="shared" si="2"/>
        <v>116842</v>
      </c>
      <c r="L10" s="298">
        <f t="shared" si="2"/>
        <v>0</v>
      </c>
      <c r="M10" s="12">
        <f t="shared" si="2"/>
        <v>100954</v>
      </c>
      <c r="N10" s="12">
        <f t="shared" si="2"/>
        <v>0</v>
      </c>
      <c r="O10" s="12">
        <f t="shared" si="2"/>
        <v>15888</v>
      </c>
      <c r="P10" s="12">
        <f t="shared" si="2"/>
        <v>0</v>
      </c>
      <c r="Q10" s="12">
        <f t="shared" si="2"/>
        <v>0</v>
      </c>
      <c r="R10" s="8"/>
      <c r="T10" s="155">
        <f>G10-SUM(D10:F10)</f>
        <v>0</v>
      </c>
      <c r="U10" s="155">
        <f>G10-H10-I10</f>
        <v>0</v>
      </c>
      <c r="V10" s="155">
        <f>I10-J10-K10</f>
        <v>0</v>
      </c>
    </row>
    <row r="11" spans="1:22" ht="20.25" customHeight="1" x14ac:dyDescent="0.25">
      <c r="A11" s="14">
        <v>1</v>
      </c>
      <c r="B11" s="15" t="s">
        <v>8</v>
      </c>
      <c r="C11" s="15"/>
      <c r="D11" s="16">
        <f t="shared" ref="D11:Q11" si="3">D12+D35</f>
        <v>0</v>
      </c>
      <c r="E11" s="16">
        <f t="shared" si="3"/>
        <v>5714105</v>
      </c>
      <c r="F11" s="16">
        <f t="shared" si="3"/>
        <v>805385.16800000006</v>
      </c>
      <c r="G11" s="318">
        <f t="shared" si="3"/>
        <v>6519490.1679999996</v>
      </c>
      <c r="H11" s="318">
        <f t="shared" si="3"/>
        <v>3887979.1680000001</v>
      </c>
      <c r="I11" s="318">
        <f t="shared" si="3"/>
        <v>2631511</v>
      </c>
      <c r="J11" s="318">
        <f t="shared" si="3"/>
        <v>2615395</v>
      </c>
      <c r="K11" s="318">
        <f t="shared" si="3"/>
        <v>16116</v>
      </c>
      <c r="L11" s="299">
        <f t="shared" si="3"/>
        <v>0</v>
      </c>
      <c r="M11" s="16">
        <f t="shared" si="3"/>
        <v>670</v>
      </c>
      <c r="N11" s="16">
        <f t="shared" si="3"/>
        <v>0</v>
      </c>
      <c r="O11" s="16">
        <f t="shared" si="3"/>
        <v>15446</v>
      </c>
      <c r="P11" s="16">
        <f t="shared" si="3"/>
        <v>0</v>
      </c>
      <c r="Q11" s="16">
        <f t="shared" si="3"/>
        <v>0</v>
      </c>
      <c r="R11" s="319">
        <f>S11-H11</f>
        <v>358040.16300000018</v>
      </c>
      <c r="S11" s="131">
        <f>SUM(S12:S17)</f>
        <v>4246019.3310000002</v>
      </c>
      <c r="T11" s="155">
        <f>G11-SUM(D11:F11)</f>
        <v>0</v>
      </c>
      <c r="U11" s="155">
        <f>G11-H11-I11</f>
        <v>0</v>
      </c>
      <c r="V11" s="155">
        <f>I11-J11-K11</f>
        <v>0</v>
      </c>
    </row>
    <row r="12" spans="1:22" s="23" customFormat="1" ht="24" customHeight="1" x14ac:dyDescent="0.25">
      <c r="A12" s="18" t="s">
        <v>9</v>
      </c>
      <c r="B12" s="19" t="s">
        <v>10</v>
      </c>
      <c r="C12" s="19"/>
      <c r="D12" s="92">
        <f t="shared" ref="D12:Q12" si="4">SUM(D13:D34)</f>
        <v>0</v>
      </c>
      <c r="E12" s="92">
        <f t="shared" si="4"/>
        <v>3851505</v>
      </c>
      <c r="F12" s="92">
        <f t="shared" si="4"/>
        <v>805385.16800000006</v>
      </c>
      <c r="G12" s="92">
        <f t="shared" si="4"/>
        <v>4656890.1679999996</v>
      </c>
      <c r="H12" s="92">
        <f t="shared" si="4"/>
        <v>3006999.1680000001</v>
      </c>
      <c r="I12" s="92">
        <f t="shared" si="4"/>
        <v>1649891</v>
      </c>
      <c r="J12" s="92">
        <f t="shared" si="4"/>
        <v>1633775</v>
      </c>
      <c r="K12" s="92">
        <f t="shared" si="4"/>
        <v>16116</v>
      </c>
      <c r="L12" s="92">
        <f t="shared" si="4"/>
        <v>0</v>
      </c>
      <c r="M12" s="92">
        <f t="shared" si="4"/>
        <v>670</v>
      </c>
      <c r="N12" s="92">
        <f t="shared" si="4"/>
        <v>0</v>
      </c>
      <c r="O12" s="92">
        <f t="shared" si="4"/>
        <v>15446</v>
      </c>
      <c r="P12" s="92">
        <f t="shared" si="4"/>
        <v>0</v>
      </c>
      <c r="Q12" s="92">
        <f t="shared" si="4"/>
        <v>0</v>
      </c>
      <c r="R12" s="30">
        <v>341</v>
      </c>
      <c r="S12" s="30">
        <v>3744992.3429999999</v>
      </c>
      <c r="T12" s="22"/>
    </row>
    <row r="13" spans="1:22" s="22" customFormat="1" ht="20.25" customHeight="1" x14ac:dyDescent="0.25">
      <c r="A13" s="24"/>
      <c r="B13" s="25" t="s">
        <v>11</v>
      </c>
      <c r="C13" s="88">
        <v>341</v>
      </c>
      <c r="D13" s="284"/>
      <c r="E13" s="284">
        <v>234800</v>
      </c>
      <c r="F13" s="284"/>
      <c r="G13" s="284">
        <f>SUM(D13:F13)</f>
        <v>234800</v>
      </c>
      <c r="H13" s="284">
        <v>82275</v>
      </c>
      <c r="I13" s="284">
        <f>G13-H13</f>
        <v>152525</v>
      </c>
      <c r="J13" s="27">
        <f>I13-K13</f>
        <v>152525</v>
      </c>
      <c r="K13" s="27"/>
      <c r="L13" s="300"/>
      <c r="M13" s="204"/>
      <c r="N13" s="204"/>
      <c r="O13" s="204"/>
      <c r="P13" s="204"/>
      <c r="Q13" s="204"/>
      <c r="R13" s="22">
        <v>428</v>
      </c>
      <c r="S13" s="30">
        <v>150000</v>
      </c>
      <c r="T13" s="30"/>
    </row>
    <row r="14" spans="1:22" s="22" customFormat="1" ht="20.25" customHeight="1" x14ac:dyDescent="0.25">
      <c r="A14" s="24"/>
      <c r="B14" s="25" t="s">
        <v>12</v>
      </c>
      <c r="C14" s="88">
        <v>341</v>
      </c>
      <c r="D14" s="284"/>
      <c r="E14" s="284">
        <v>15560</v>
      </c>
      <c r="F14" s="284"/>
      <c r="G14" s="284">
        <f t="shared" ref="G14:G23" si="5">SUM(D14:F14)</f>
        <v>15560</v>
      </c>
      <c r="H14" s="284">
        <f>G14</f>
        <v>15560</v>
      </c>
      <c r="I14" s="284">
        <f t="shared" ref="I14:I27" si="6">G14-H14</f>
        <v>0</v>
      </c>
      <c r="J14" s="27">
        <f t="shared" ref="J14:J53" si="7">I14-K14</f>
        <v>0</v>
      </c>
      <c r="K14" s="27"/>
      <c r="L14" s="300"/>
      <c r="M14" s="204"/>
      <c r="N14" s="204"/>
      <c r="O14" s="204"/>
      <c r="P14" s="204"/>
      <c r="Q14" s="204"/>
      <c r="R14" s="22">
        <v>338</v>
      </c>
      <c r="S14" s="30">
        <v>16088</v>
      </c>
    </row>
    <row r="15" spans="1:22" s="22" customFormat="1" ht="21" customHeight="1" x14ac:dyDescent="0.25">
      <c r="A15" s="24"/>
      <c r="B15" s="25" t="s">
        <v>13</v>
      </c>
      <c r="C15" s="88">
        <v>341</v>
      </c>
      <c r="D15" s="285"/>
      <c r="E15" s="285">
        <v>200000</v>
      </c>
      <c r="F15" s="285"/>
      <c r="G15" s="284">
        <f t="shared" si="5"/>
        <v>200000</v>
      </c>
      <c r="H15" s="284">
        <v>101922</v>
      </c>
      <c r="I15" s="284">
        <f t="shared" si="6"/>
        <v>98078</v>
      </c>
      <c r="J15" s="27">
        <f t="shared" si="7"/>
        <v>98078</v>
      </c>
      <c r="K15" s="27"/>
      <c r="L15" s="300"/>
      <c r="M15" s="204"/>
      <c r="N15" s="204"/>
      <c r="O15" s="204"/>
      <c r="P15" s="204"/>
      <c r="Q15" s="204"/>
      <c r="R15" s="22">
        <v>312</v>
      </c>
      <c r="S15" s="30">
        <v>179685</v>
      </c>
    </row>
    <row r="16" spans="1:22" s="22" customFormat="1" ht="38.25" customHeight="1" x14ac:dyDescent="0.25">
      <c r="A16" s="24"/>
      <c r="B16" s="25" t="s">
        <v>477</v>
      </c>
      <c r="C16" s="88">
        <v>341</v>
      </c>
      <c r="D16" s="285"/>
      <c r="E16" s="285">
        <v>800000</v>
      </c>
      <c r="F16" s="285"/>
      <c r="G16" s="284">
        <f t="shared" si="5"/>
        <v>800000</v>
      </c>
      <c r="H16" s="284">
        <v>77478</v>
      </c>
      <c r="I16" s="284">
        <f t="shared" si="6"/>
        <v>722522</v>
      </c>
      <c r="J16" s="27">
        <f t="shared" si="7"/>
        <v>722522</v>
      </c>
      <c r="K16" s="27"/>
      <c r="L16" s="300"/>
      <c r="M16" s="204"/>
      <c r="N16" s="204"/>
      <c r="O16" s="204"/>
      <c r="P16" s="204"/>
      <c r="Q16" s="204"/>
      <c r="R16" s="22">
        <v>281</v>
      </c>
      <c r="S16" s="30">
        <v>147453.98800000001</v>
      </c>
    </row>
    <row r="17" spans="1:19" s="22" customFormat="1" ht="21" customHeight="1" x14ac:dyDescent="0.25">
      <c r="A17" s="24"/>
      <c r="B17" s="25" t="s">
        <v>478</v>
      </c>
      <c r="C17" s="88">
        <v>341</v>
      </c>
      <c r="D17" s="284"/>
      <c r="E17" s="284">
        <v>900000</v>
      </c>
      <c r="F17" s="284"/>
      <c r="G17" s="284">
        <f t="shared" si="5"/>
        <v>900000</v>
      </c>
      <c r="H17" s="284">
        <v>899774</v>
      </c>
      <c r="I17" s="284">
        <f t="shared" si="6"/>
        <v>226</v>
      </c>
      <c r="J17" s="27">
        <f t="shared" si="7"/>
        <v>226</v>
      </c>
      <c r="K17" s="27"/>
      <c r="L17" s="300"/>
      <c r="M17" s="204"/>
      <c r="N17" s="204"/>
      <c r="O17" s="204"/>
      <c r="P17" s="204"/>
      <c r="Q17" s="204"/>
      <c r="R17" s="137" t="s">
        <v>614</v>
      </c>
      <c r="S17" s="30">
        <v>7800</v>
      </c>
    </row>
    <row r="18" spans="1:19" s="22" customFormat="1" ht="53.25" customHeight="1" x14ac:dyDescent="0.25">
      <c r="A18" s="24"/>
      <c r="B18" s="25" t="s">
        <v>14</v>
      </c>
      <c r="C18" s="88">
        <v>341</v>
      </c>
      <c r="D18" s="284"/>
      <c r="E18" s="285">
        <v>220000</v>
      </c>
      <c r="F18" s="284"/>
      <c r="G18" s="284">
        <f t="shared" si="5"/>
        <v>220000</v>
      </c>
      <c r="H18" s="284">
        <v>58702</v>
      </c>
      <c r="I18" s="284">
        <f t="shared" si="6"/>
        <v>161298</v>
      </c>
      <c r="J18" s="27">
        <f t="shared" si="7"/>
        <v>161298</v>
      </c>
      <c r="K18" s="27"/>
      <c r="L18" s="300"/>
      <c r="M18" s="204"/>
      <c r="N18" s="204"/>
      <c r="O18" s="204"/>
      <c r="P18" s="204"/>
      <c r="Q18" s="204"/>
      <c r="R18" s="29"/>
      <c r="S18" s="30"/>
    </row>
    <row r="19" spans="1:19" s="22" customFormat="1" x14ac:dyDescent="0.25">
      <c r="A19" s="24"/>
      <c r="B19" s="25" t="s">
        <v>16</v>
      </c>
      <c r="C19" s="88">
        <v>341</v>
      </c>
      <c r="D19" s="284"/>
      <c r="E19" s="284">
        <v>49000</v>
      </c>
      <c r="F19" s="284">
        <v>-38802.832000000002</v>
      </c>
      <c r="G19" s="284">
        <f t="shared" si="5"/>
        <v>10197.167999999998</v>
      </c>
      <c r="H19" s="284">
        <f>G19</f>
        <v>10197.167999999998</v>
      </c>
      <c r="I19" s="27">
        <f t="shared" si="6"/>
        <v>0</v>
      </c>
      <c r="J19" s="27">
        <f t="shared" si="7"/>
        <v>0</v>
      </c>
      <c r="K19" s="27"/>
      <c r="L19" s="300"/>
      <c r="M19" s="204"/>
      <c r="N19" s="204"/>
      <c r="O19" s="204"/>
      <c r="P19" s="204"/>
      <c r="Q19" s="204"/>
      <c r="R19" s="30"/>
      <c r="S19" s="30"/>
    </row>
    <row r="20" spans="1:19" s="22" customFormat="1" x14ac:dyDescent="0.25">
      <c r="A20" s="24"/>
      <c r="B20" s="25" t="s">
        <v>605</v>
      </c>
      <c r="C20" s="88">
        <v>341</v>
      </c>
      <c r="D20" s="284"/>
      <c r="E20" s="284"/>
      <c r="F20" s="284">
        <v>18000</v>
      </c>
      <c r="G20" s="284">
        <f t="shared" ref="G20" si="8">SUM(D20:F20)</f>
        <v>18000</v>
      </c>
      <c r="H20" s="284">
        <v>7308</v>
      </c>
      <c r="I20" s="27">
        <f t="shared" ref="I20" si="9">G20-H20</f>
        <v>10692</v>
      </c>
      <c r="J20" s="27">
        <f t="shared" ref="J20" si="10">I20-K20</f>
        <v>10692</v>
      </c>
      <c r="K20" s="27"/>
      <c r="L20" s="300"/>
      <c r="M20" s="204"/>
      <c r="N20" s="204"/>
      <c r="O20" s="204"/>
      <c r="P20" s="204"/>
      <c r="Q20" s="204"/>
      <c r="R20" s="30"/>
      <c r="S20" s="30"/>
    </row>
    <row r="21" spans="1:19" s="22" customFormat="1" ht="20.25" customHeight="1" x14ac:dyDescent="0.25">
      <c r="A21" s="24"/>
      <c r="B21" s="25" t="s">
        <v>17</v>
      </c>
      <c r="C21" s="88">
        <v>341</v>
      </c>
      <c r="D21" s="284"/>
      <c r="E21" s="284">
        <f>100000+100000</f>
        <v>200000</v>
      </c>
      <c r="F21" s="284"/>
      <c r="G21" s="284">
        <f t="shared" si="5"/>
        <v>200000</v>
      </c>
      <c r="H21" s="284">
        <v>99925</v>
      </c>
      <c r="I21" s="284">
        <f t="shared" si="6"/>
        <v>100075</v>
      </c>
      <c r="J21" s="27">
        <f t="shared" si="7"/>
        <v>100075</v>
      </c>
      <c r="K21" s="27"/>
      <c r="L21" s="300"/>
      <c r="M21" s="204"/>
      <c r="N21" s="204"/>
      <c r="O21" s="204"/>
      <c r="P21" s="204"/>
      <c r="Q21" s="204"/>
      <c r="R21" s="31"/>
      <c r="S21" s="30"/>
    </row>
    <row r="22" spans="1:19" s="22" customFormat="1" ht="31.5" x14ac:dyDescent="0.25">
      <c r="A22" s="24"/>
      <c r="B22" s="25" t="s">
        <v>18</v>
      </c>
      <c r="C22" s="88">
        <v>341</v>
      </c>
      <c r="D22" s="284"/>
      <c r="E22" s="284">
        <f>ROUND((6407*2*12)+(6407*2*12)*10%,0)</f>
        <v>169145</v>
      </c>
      <c r="F22" s="284"/>
      <c r="G22" s="284">
        <f t="shared" si="5"/>
        <v>169145</v>
      </c>
      <c r="H22" s="284">
        <v>86550</v>
      </c>
      <c r="I22" s="284">
        <f t="shared" si="6"/>
        <v>82595</v>
      </c>
      <c r="J22" s="27">
        <f t="shared" si="7"/>
        <v>82595</v>
      </c>
      <c r="K22" s="27"/>
      <c r="L22" s="300"/>
      <c r="M22" s="204"/>
      <c r="N22" s="204"/>
      <c r="O22" s="204"/>
      <c r="P22" s="204"/>
      <c r="Q22" s="204"/>
      <c r="R22" s="30"/>
      <c r="S22" s="30"/>
    </row>
    <row r="23" spans="1:19" s="22" customFormat="1" ht="37.5" customHeight="1" x14ac:dyDescent="0.25">
      <c r="A23" s="24"/>
      <c r="B23" s="25" t="s">
        <v>479</v>
      </c>
      <c r="C23" s="88">
        <v>341</v>
      </c>
      <c r="D23" s="284"/>
      <c r="E23" s="284">
        <v>100000</v>
      </c>
      <c r="F23" s="284"/>
      <c r="G23" s="284">
        <f t="shared" si="5"/>
        <v>100000</v>
      </c>
      <c r="H23" s="284">
        <v>80551</v>
      </c>
      <c r="I23" s="284">
        <f t="shared" si="6"/>
        <v>19449</v>
      </c>
      <c r="J23" s="27">
        <f t="shared" si="7"/>
        <v>19449</v>
      </c>
      <c r="K23" s="27"/>
      <c r="L23" s="300"/>
      <c r="M23" s="204"/>
      <c r="N23" s="204"/>
      <c r="O23" s="204"/>
      <c r="P23" s="204"/>
      <c r="Q23" s="204"/>
      <c r="R23" s="30"/>
      <c r="S23" s="30"/>
    </row>
    <row r="24" spans="1:19" s="22" customFormat="1" ht="21.75" customHeight="1" x14ac:dyDescent="0.25">
      <c r="A24" s="24"/>
      <c r="B24" s="25" t="s">
        <v>19</v>
      </c>
      <c r="C24" s="88">
        <v>341</v>
      </c>
      <c r="D24" s="284"/>
      <c r="E24" s="284">
        <v>700000</v>
      </c>
      <c r="F24" s="284"/>
      <c r="G24" s="284">
        <f t="shared" ref="G24" si="11">SUM(D24:F24)</f>
        <v>700000</v>
      </c>
      <c r="H24" s="284">
        <v>699830</v>
      </c>
      <c r="I24" s="284">
        <f t="shared" si="6"/>
        <v>170</v>
      </c>
      <c r="J24" s="27">
        <f t="shared" si="7"/>
        <v>0</v>
      </c>
      <c r="K24" s="27">
        <f>I24</f>
        <v>170</v>
      </c>
      <c r="L24" s="300"/>
      <c r="M24" s="204">
        <f>K24</f>
        <v>170</v>
      </c>
      <c r="N24" s="204"/>
      <c r="O24" s="204"/>
      <c r="P24" s="204"/>
      <c r="Q24" s="204"/>
      <c r="R24" s="30"/>
      <c r="S24" s="30"/>
    </row>
    <row r="25" spans="1:19" s="22" customFormat="1" ht="35.25" customHeight="1" x14ac:dyDescent="0.25">
      <c r="A25" s="24"/>
      <c r="B25" s="25" t="s">
        <v>480</v>
      </c>
      <c r="C25" s="88">
        <v>341</v>
      </c>
      <c r="D25" s="284"/>
      <c r="E25" s="284">
        <f>12*12000+24000</f>
        <v>168000</v>
      </c>
      <c r="F25" s="284"/>
      <c r="G25" s="284">
        <f t="shared" ref="G25:G27" si="12">SUM(D25:F25)</f>
        <v>168000</v>
      </c>
      <c r="H25" s="284">
        <f>G25</f>
        <v>168000</v>
      </c>
      <c r="I25" s="284">
        <f t="shared" si="6"/>
        <v>0</v>
      </c>
      <c r="J25" s="27">
        <f t="shared" si="7"/>
        <v>0</v>
      </c>
      <c r="K25" s="27"/>
      <c r="L25" s="300"/>
      <c r="M25" s="204"/>
      <c r="N25" s="204"/>
      <c r="O25" s="204"/>
      <c r="P25" s="204"/>
      <c r="Q25" s="204"/>
      <c r="R25" s="30"/>
      <c r="S25" s="30"/>
    </row>
    <row r="26" spans="1:19" s="22" customFormat="1" ht="31.5" x14ac:dyDescent="0.25">
      <c r="A26" s="24"/>
      <c r="B26" s="25" t="s">
        <v>481</v>
      </c>
      <c r="C26" s="88">
        <v>341</v>
      </c>
      <c r="D26" s="284"/>
      <c r="E26" s="284">
        <v>95000</v>
      </c>
      <c r="F26" s="284"/>
      <c r="G26" s="284">
        <f t="shared" si="12"/>
        <v>95000</v>
      </c>
      <c r="H26" s="284"/>
      <c r="I26" s="284">
        <f t="shared" si="6"/>
        <v>95000</v>
      </c>
      <c r="J26" s="27">
        <f t="shared" si="7"/>
        <v>95000</v>
      </c>
      <c r="K26" s="27"/>
      <c r="L26" s="300"/>
      <c r="M26" s="204"/>
      <c r="N26" s="204"/>
      <c r="O26" s="204"/>
      <c r="P26" s="204"/>
      <c r="Q26" s="204"/>
      <c r="R26" s="30"/>
      <c r="S26" s="30"/>
    </row>
    <row r="27" spans="1:19" s="22" customFormat="1" x14ac:dyDescent="0.25">
      <c r="A27" s="24"/>
      <c r="B27" s="25" t="s">
        <v>619</v>
      </c>
      <c r="C27" s="88" t="s">
        <v>614</v>
      </c>
      <c r="D27" s="284"/>
      <c r="E27" s="284"/>
      <c r="F27" s="284">
        <v>7800</v>
      </c>
      <c r="G27" s="284">
        <f t="shared" si="12"/>
        <v>7800</v>
      </c>
      <c r="H27" s="284">
        <f>G27</f>
        <v>7800</v>
      </c>
      <c r="I27" s="284">
        <f t="shared" si="6"/>
        <v>0</v>
      </c>
      <c r="J27" s="27">
        <f t="shared" ref="J27" si="13">I27-K27</f>
        <v>0</v>
      </c>
      <c r="K27" s="27"/>
      <c r="L27" s="300"/>
      <c r="M27" s="204"/>
      <c r="N27" s="204"/>
      <c r="O27" s="204"/>
      <c r="P27" s="204"/>
      <c r="Q27" s="204"/>
      <c r="R27" s="30"/>
      <c r="S27" s="30"/>
    </row>
    <row r="28" spans="1:19" s="22" customFormat="1" ht="31.5" x14ac:dyDescent="0.25">
      <c r="A28" s="24"/>
      <c r="B28" s="25" t="s">
        <v>640</v>
      </c>
      <c r="C28" s="88">
        <v>312</v>
      </c>
      <c r="D28" s="284"/>
      <c r="E28" s="284"/>
      <c r="F28" s="284">
        <v>371000</v>
      </c>
      <c r="G28" s="284">
        <f t="shared" ref="G28" si="14">SUM(D28:F28)</f>
        <v>371000</v>
      </c>
      <c r="H28" s="284">
        <v>179685</v>
      </c>
      <c r="I28" s="284">
        <f t="shared" ref="I28" si="15">G28-H28</f>
        <v>191315</v>
      </c>
      <c r="J28" s="27">
        <f t="shared" ref="J28" si="16">I28-K28</f>
        <v>191315</v>
      </c>
      <c r="K28" s="27"/>
      <c r="L28" s="300"/>
      <c r="M28" s="204"/>
      <c r="N28" s="204"/>
      <c r="O28" s="204"/>
      <c r="P28" s="204"/>
      <c r="Q28" s="204"/>
      <c r="R28" s="30"/>
      <c r="S28" s="30"/>
    </row>
    <row r="29" spans="1:19" s="22" customFormat="1" ht="63" x14ac:dyDescent="0.25">
      <c r="A29" s="24"/>
      <c r="B29" s="25" t="s">
        <v>649</v>
      </c>
      <c r="C29" s="88">
        <v>338</v>
      </c>
      <c r="D29" s="284"/>
      <c r="E29" s="284"/>
      <c r="F29" s="284">
        <v>16088</v>
      </c>
      <c r="G29" s="284">
        <f t="shared" ref="G29:G31" si="17">SUM(D29:F29)</f>
        <v>16088</v>
      </c>
      <c r="H29" s="284">
        <f>G29</f>
        <v>16088</v>
      </c>
      <c r="I29" s="284">
        <f t="shared" ref="I29:I33" si="18">G29-H29</f>
        <v>0</v>
      </c>
      <c r="J29" s="27">
        <f t="shared" ref="J29:J33" si="19">I29-K29</f>
        <v>0</v>
      </c>
      <c r="K29" s="27"/>
      <c r="L29" s="300"/>
      <c r="M29" s="204"/>
      <c r="N29" s="204"/>
      <c r="O29" s="204"/>
      <c r="P29" s="204"/>
      <c r="Q29" s="204"/>
      <c r="R29" s="30"/>
      <c r="S29" s="30"/>
    </row>
    <row r="30" spans="1:19" s="22" customFormat="1" ht="47.25" x14ac:dyDescent="0.25">
      <c r="A30" s="24"/>
      <c r="B30" s="25" t="s">
        <v>665</v>
      </c>
      <c r="C30" s="88">
        <v>428</v>
      </c>
      <c r="D30" s="284"/>
      <c r="E30" s="284"/>
      <c r="F30" s="284">
        <v>150000</v>
      </c>
      <c r="G30" s="284">
        <f t="shared" si="17"/>
        <v>150000</v>
      </c>
      <c r="H30" s="284">
        <f>G30</f>
        <v>150000</v>
      </c>
      <c r="I30" s="284">
        <f t="shared" si="18"/>
        <v>0</v>
      </c>
      <c r="J30" s="27">
        <f t="shared" si="19"/>
        <v>0</v>
      </c>
      <c r="K30" s="27"/>
      <c r="L30" s="300"/>
      <c r="M30" s="204"/>
      <c r="N30" s="204"/>
      <c r="O30" s="204"/>
      <c r="P30" s="204"/>
      <c r="Q30" s="204"/>
      <c r="R30" s="30"/>
      <c r="S30" s="30"/>
    </row>
    <row r="31" spans="1:19" s="22" customFormat="1" ht="47.25" x14ac:dyDescent="0.25">
      <c r="A31" s="24"/>
      <c r="B31" s="33" t="s">
        <v>686</v>
      </c>
      <c r="C31" s="88">
        <v>341</v>
      </c>
      <c r="D31" s="284"/>
      <c r="E31" s="284"/>
      <c r="F31" s="284">
        <v>32600</v>
      </c>
      <c r="G31" s="284">
        <f t="shared" si="17"/>
        <v>32600</v>
      </c>
      <c r="H31" s="284">
        <v>32100</v>
      </c>
      <c r="I31" s="284">
        <f t="shared" si="18"/>
        <v>500</v>
      </c>
      <c r="J31" s="27">
        <f t="shared" si="19"/>
        <v>0</v>
      </c>
      <c r="K31" s="27">
        <f>I31</f>
        <v>500</v>
      </c>
      <c r="L31" s="300" t="s">
        <v>692</v>
      </c>
      <c r="M31" s="204">
        <f>K31</f>
        <v>500</v>
      </c>
      <c r="N31" s="204"/>
      <c r="O31" s="204"/>
      <c r="P31" s="204"/>
      <c r="Q31" s="204"/>
      <c r="R31" s="30"/>
      <c r="S31" s="30"/>
    </row>
    <row r="32" spans="1:19" ht="19.5" customHeight="1" x14ac:dyDescent="0.25">
      <c r="A32" s="61"/>
      <c r="B32" s="25" t="s">
        <v>693</v>
      </c>
      <c r="C32" s="88">
        <v>281</v>
      </c>
      <c r="D32" s="285"/>
      <c r="E32" s="287"/>
      <c r="F32" s="285">
        <v>32000</v>
      </c>
      <c r="G32" s="285">
        <f t="shared" ref="G32:G33" si="20">SUM(D32:F32)</f>
        <v>32000</v>
      </c>
      <c r="H32" s="285">
        <f>G32</f>
        <v>32000</v>
      </c>
      <c r="I32" s="285">
        <f t="shared" si="18"/>
        <v>0</v>
      </c>
      <c r="J32" s="27">
        <f t="shared" si="19"/>
        <v>0</v>
      </c>
      <c r="K32" s="27"/>
      <c r="L32" s="300" t="s">
        <v>694</v>
      </c>
      <c r="M32" s="204"/>
      <c r="N32" s="204"/>
      <c r="O32" s="204"/>
      <c r="P32" s="204"/>
      <c r="Q32" s="204"/>
    </row>
    <row r="33" spans="1:22" ht="31.5" x14ac:dyDescent="0.25">
      <c r="A33" s="61"/>
      <c r="B33" s="25" t="s">
        <v>717</v>
      </c>
      <c r="C33" s="88">
        <v>281</v>
      </c>
      <c r="D33" s="285"/>
      <c r="E33" s="287"/>
      <c r="F33" s="285">
        <v>130900</v>
      </c>
      <c r="G33" s="285">
        <f t="shared" si="20"/>
        <v>130900</v>
      </c>
      <c r="H33" s="285">
        <v>115454</v>
      </c>
      <c r="I33" s="285">
        <f t="shared" si="18"/>
        <v>15446</v>
      </c>
      <c r="J33" s="27">
        <f t="shared" si="19"/>
        <v>0</v>
      </c>
      <c r="K33" s="27">
        <f>I33</f>
        <v>15446</v>
      </c>
      <c r="L33" s="300"/>
      <c r="M33" s="204"/>
      <c r="N33" s="204"/>
      <c r="O33" s="204">
        <f>K33</f>
        <v>15446</v>
      </c>
      <c r="P33" s="204"/>
      <c r="Q33" s="204"/>
    </row>
    <row r="34" spans="1:22" ht="31.5" x14ac:dyDescent="0.25">
      <c r="A34" s="61"/>
      <c r="B34" s="25" t="s">
        <v>695</v>
      </c>
      <c r="C34" s="88">
        <v>341</v>
      </c>
      <c r="D34" s="285"/>
      <c r="E34" s="287"/>
      <c r="F34" s="285">
        <v>85800</v>
      </c>
      <c r="G34" s="285">
        <f t="shared" ref="G34" si="21">SUM(D34:F34)</f>
        <v>85800</v>
      </c>
      <c r="H34" s="285">
        <f>G34</f>
        <v>85800</v>
      </c>
      <c r="I34" s="285">
        <f t="shared" ref="I34" si="22">G34-H34</f>
        <v>0</v>
      </c>
      <c r="J34" s="27">
        <f t="shared" ref="J34" si="23">I34-K34</f>
        <v>0</v>
      </c>
      <c r="K34" s="27"/>
      <c r="L34" s="300" t="s">
        <v>694</v>
      </c>
      <c r="M34" s="204"/>
      <c r="N34" s="204"/>
      <c r="O34" s="204"/>
      <c r="P34" s="204"/>
      <c r="Q34" s="204"/>
    </row>
    <row r="35" spans="1:22" s="23" customFormat="1" x14ac:dyDescent="0.25">
      <c r="A35" s="18" t="s">
        <v>20</v>
      </c>
      <c r="B35" s="19" t="s">
        <v>21</v>
      </c>
      <c r="C35" s="19"/>
      <c r="D35" s="92">
        <f>SUM(D36:D47)</f>
        <v>0</v>
      </c>
      <c r="E35" s="92">
        <f t="shared" ref="E35:Q35" si="24">SUM(E36:E47)</f>
        <v>1862600</v>
      </c>
      <c r="F35" s="92">
        <f t="shared" si="24"/>
        <v>0</v>
      </c>
      <c r="G35" s="92">
        <f t="shared" si="24"/>
        <v>1862600</v>
      </c>
      <c r="H35" s="92">
        <f t="shared" si="24"/>
        <v>880980</v>
      </c>
      <c r="I35" s="92">
        <f t="shared" si="24"/>
        <v>981620</v>
      </c>
      <c r="J35" s="92">
        <f t="shared" si="24"/>
        <v>981620</v>
      </c>
      <c r="K35" s="92">
        <f t="shared" si="24"/>
        <v>0</v>
      </c>
      <c r="L35" s="301">
        <f t="shared" si="24"/>
        <v>0</v>
      </c>
      <c r="M35" s="20">
        <f t="shared" si="24"/>
        <v>0</v>
      </c>
      <c r="N35" s="20">
        <f t="shared" si="24"/>
        <v>0</v>
      </c>
      <c r="O35" s="20">
        <f t="shared" si="24"/>
        <v>0</v>
      </c>
      <c r="P35" s="20">
        <f t="shared" si="24"/>
        <v>0</v>
      </c>
      <c r="Q35" s="20">
        <f t="shared" si="24"/>
        <v>0</v>
      </c>
      <c r="R35" s="30"/>
      <c r="S35" s="21"/>
    </row>
    <row r="36" spans="1:22" s="22" customFormat="1" ht="18.75" customHeight="1" x14ac:dyDescent="0.25">
      <c r="A36" s="24"/>
      <c r="B36" s="25" t="s">
        <v>22</v>
      </c>
      <c r="C36" s="88">
        <v>341</v>
      </c>
      <c r="D36" s="285"/>
      <c r="E36" s="285">
        <v>50200</v>
      </c>
      <c r="F36" s="285"/>
      <c r="G36" s="284">
        <f t="shared" ref="G36:G47" si="25">SUM(D36:F36)</f>
        <v>50200</v>
      </c>
      <c r="H36" s="284"/>
      <c r="I36" s="284">
        <f t="shared" ref="I36" si="26">G36-H36</f>
        <v>50200</v>
      </c>
      <c r="J36" s="27">
        <f t="shared" si="7"/>
        <v>50200</v>
      </c>
      <c r="K36" s="27"/>
      <c r="L36" s="300"/>
      <c r="M36" s="204"/>
      <c r="N36" s="204"/>
      <c r="O36" s="204"/>
      <c r="P36" s="204"/>
      <c r="Q36" s="204"/>
      <c r="R36" s="30"/>
      <c r="S36" s="30"/>
    </row>
    <row r="37" spans="1:22" s="22" customFormat="1" ht="18.75" customHeight="1" x14ac:dyDescent="0.25">
      <c r="A37" s="24"/>
      <c r="B37" s="25" t="s">
        <v>23</v>
      </c>
      <c r="C37" s="88">
        <v>341</v>
      </c>
      <c r="D37" s="285"/>
      <c r="E37" s="285">
        <v>192200</v>
      </c>
      <c r="F37" s="285"/>
      <c r="G37" s="284">
        <f t="shared" si="25"/>
        <v>192200</v>
      </c>
      <c r="H37" s="284">
        <v>74898</v>
      </c>
      <c r="I37" s="284">
        <f t="shared" ref="I37:I47" si="27">G37-H37</f>
        <v>117302</v>
      </c>
      <c r="J37" s="27">
        <f t="shared" si="7"/>
        <v>117302</v>
      </c>
      <c r="K37" s="27"/>
      <c r="L37" s="300"/>
      <c r="M37" s="204"/>
      <c r="N37" s="204"/>
      <c r="O37" s="204"/>
      <c r="P37" s="204"/>
      <c r="Q37" s="204"/>
      <c r="R37" s="30"/>
      <c r="S37" s="30"/>
    </row>
    <row r="38" spans="1:22" s="22" customFormat="1" ht="18.75" customHeight="1" x14ac:dyDescent="0.25">
      <c r="A38" s="24"/>
      <c r="B38" s="25" t="s">
        <v>24</v>
      </c>
      <c r="C38" s="88">
        <v>341</v>
      </c>
      <c r="D38" s="285"/>
      <c r="E38" s="285">
        <v>78700</v>
      </c>
      <c r="F38" s="285"/>
      <c r="G38" s="284">
        <f t="shared" si="25"/>
        <v>78700</v>
      </c>
      <c r="H38" s="284">
        <v>8880</v>
      </c>
      <c r="I38" s="284">
        <f t="shared" si="27"/>
        <v>69820</v>
      </c>
      <c r="J38" s="27">
        <f t="shared" si="7"/>
        <v>69820</v>
      </c>
      <c r="K38" s="27"/>
      <c r="L38" s="300"/>
      <c r="M38" s="204"/>
      <c r="N38" s="204"/>
      <c r="O38" s="204"/>
      <c r="P38" s="204"/>
      <c r="Q38" s="204"/>
      <c r="R38" s="30"/>
      <c r="S38" s="30"/>
    </row>
    <row r="39" spans="1:22" s="22" customFormat="1" ht="18.75" customHeight="1" x14ac:dyDescent="0.25">
      <c r="A39" s="24"/>
      <c r="B39" s="25" t="s">
        <v>25</v>
      </c>
      <c r="C39" s="88">
        <v>341</v>
      </c>
      <c r="D39" s="285"/>
      <c r="E39" s="285">
        <v>195200</v>
      </c>
      <c r="F39" s="285"/>
      <c r="G39" s="284">
        <f t="shared" si="25"/>
        <v>195200</v>
      </c>
      <c r="H39" s="284">
        <v>9338</v>
      </c>
      <c r="I39" s="284">
        <f t="shared" si="27"/>
        <v>185862</v>
      </c>
      <c r="J39" s="27">
        <f t="shared" si="7"/>
        <v>185862</v>
      </c>
      <c r="K39" s="27"/>
      <c r="L39" s="300"/>
      <c r="M39" s="204"/>
      <c r="N39" s="204"/>
      <c r="O39" s="204"/>
      <c r="P39" s="204"/>
      <c r="Q39" s="204"/>
      <c r="R39" s="30"/>
      <c r="S39" s="30"/>
    </row>
    <row r="40" spans="1:22" s="22" customFormat="1" ht="31.5" x14ac:dyDescent="0.25">
      <c r="A40" s="24"/>
      <c r="B40" s="25" t="s">
        <v>26</v>
      </c>
      <c r="C40" s="88">
        <v>341</v>
      </c>
      <c r="D40" s="285"/>
      <c r="E40" s="285">
        <v>260900</v>
      </c>
      <c r="F40" s="285"/>
      <c r="G40" s="284">
        <f t="shared" si="25"/>
        <v>260900</v>
      </c>
      <c r="H40" s="284">
        <v>42105</v>
      </c>
      <c r="I40" s="284">
        <f t="shared" si="27"/>
        <v>218795</v>
      </c>
      <c r="J40" s="27">
        <f t="shared" si="7"/>
        <v>218795</v>
      </c>
      <c r="K40" s="27"/>
      <c r="L40" s="300"/>
      <c r="M40" s="204"/>
      <c r="N40" s="204"/>
      <c r="O40" s="204"/>
      <c r="P40" s="204"/>
      <c r="Q40" s="204"/>
      <c r="R40" s="30"/>
      <c r="S40" s="30"/>
    </row>
    <row r="41" spans="1:22" s="22" customFormat="1" ht="20.25" customHeight="1" x14ac:dyDescent="0.25">
      <c r="A41" s="24"/>
      <c r="B41" s="32" t="s">
        <v>27</v>
      </c>
      <c r="C41" s="88">
        <v>341</v>
      </c>
      <c r="D41" s="285"/>
      <c r="E41" s="285">
        <v>26400</v>
      </c>
      <c r="F41" s="285"/>
      <c r="G41" s="284">
        <f t="shared" si="25"/>
        <v>26400</v>
      </c>
      <c r="H41" s="284">
        <v>13200</v>
      </c>
      <c r="I41" s="284">
        <f t="shared" si="27"/>
        <v>13200</v>
      </c>
      <c r="J41" s="27">
        <f t="shared" si="7"/>
        <v>13200</v>
      </c>
      <c r="K41" s="27"/>
      <c r="L41" s="300"/>
      <c r="M41" s="204"/>
      <c r="N41" s="204"/>
      <c r="O41" s="204"/>
      <c r="P41" s="204"/>
      <c r="Q41" s="204"/>
      <c r="R41" s="30"/>
      <c r="S41" s="30"/>
    </row>
    <row r="42" spans="1:22" s="22" customFormat="1" ht="31.5" x14ac:dyDescent="0.25">
      <c r="A42" s="24"/>
      <c r="B42" s="25" t="s">
        <v>482</v>
      </c>
      <c r="C42" s="88">
        <v>341</v>
      </c>
      <c r="D42" s="285"/>
      <c r="E42" s="285">
        <v>72000</v>
      </c>
      <c r="F42" s="285"/>
      <c r="G42" s="284">
        <f t="shared" si="25"/>
        <v>72000</v>
      </c>
      <c r="H42" s="284">
        <v>29952</v>
      </c>
      <c r="I42" s="284">
        <f t="shared" si="27"/>
        <v>42048</v>
      </c>
      <c r="J42" s="27">
        <f t="shared" si="7"/>
        <v>42048</v>
      </c>
      <c r="K42" s="27"/>
      <c r="L42" s="300"/>
      <c r="M42" s="204"/>
      <c r="N42" s="204"/>
      <c r="O42" s="204"/>
      <c r="P42" s="204"/>
      <c r="Q42" s="204"/>
      <c r="R42" s="30"/>
      <c r="S42" s="30"/>
    </row>
    <row r="43" spans="1:22" s="22" customFormat="1" ht="20.25" customHeight="1" x14ac:dyDescent="0.25">
      <c r="A43" s="24"/>
      <c r="B43" s="25" t="s">
        <v>29</v>
      </c>
      <c r="C43" s="88">
        <v>341</v>
      </c>
      <c r="D43" s="285"/>
      <c r="E43" s="285">
        <v>12000</v>
      </c>
      <c r="F43" s="285"/>
      <c r="G43" s="284">
        <f t="shared" si="25"/>
        <v>12000</v>
      </c>
      <c r="H43" s="284"/>
      <c r="I43" s="284">
        <f t="shared" si="27"/>
        <v>12000</v>
      </c>
      <c r="J43" s="27">
        <f t="shared" si="7"/>
        <v>12000</v>
      </c>
      <c r="K43" s="27"/>
      <c r="L43" s="300"/>
      <c r="M43" s="204"/>
      <c r="N43" s="204"/>
      <c r="O43" s="204"/>
      <c r="P43" s="204"/>
      <c r="Q43" s="204"/>
      <c r="R43" s="30"/>
      <c r="S43" s="30"/>
    </row>
    <row r="44" spans="1:22" s="22" customFormat="1" ht="20.25" customHeight="1" x14ac:dyDescent="0.25">
      <c r="A44" s="24"/>
      <c r="B44" s="25" t="s">
        <v>28</v>
      </c>
      <c r="C44" s="88">
        <v>341</v>
      </c>
      <c r="D44" s="285"/>
      <c r="E44" s="285">
        <v>60000</v>
      </c>
      <c r="F44" s="285"/>
      <c r="G44" s="284">
        <f t="shared" si="25"/>
        <v>60000</v>
      </c>
      <c r="H44" s="284">
        <v>55500</v>
      </c>
      <c r="I44" s="284">
        <f t="shared" si="27"/>
        <v>4500</v>
      </c>
      <c r="J44" s="27">
        <f t="shared" si="7"/>
        <v>4500</v>
      </c>
      <c r="K44" s="27"/>
      <c r="L44" s="300"/>
      <c r="M44" s="204"/>
      <c r="N44" s="204"/>
      <c r="O44" s="204"/>
      <c r="P44" s="204"/>
      <c r="Q44" s="204"/>
      <c r="R44" s="30"/>
      <c r="S44" s="30"/>
    </row>
    <row r="45" spans="1:22" s="22" customFormat="1" ht="36" customHeight="1" x14ac:dyDescent="0.25">
      <c r="A45" s="24"/>
      <c r="B45" s="25" t="s">
        <v>30</v>
      </c>
      <c r="C45" s="88">
        <v>341</v>
      </c>
      <c r="D45" s="285"/>
      <c r="E45" s="285">
        <v>15000</v>
      </c>
      <c r="F45" s="285"/>
      <c r="G45" s="284">
        <f t="shared" si="25"/>
        <v>15000</v>
      </c>
      <c r="H45" s="284">
        <v>2528</v>
      </c>
      <c r="I45" s="284">
        <f t="shared" si="27"/>
        <v>12472</v>
      </c>
      <c r="J45" s="27">
        <f t="shared" si="7"/>
        <v>12472</v>
      </c>
      <c r="K45" s="27"/>
      <c r="L45" s="300"/>
      <c r="M45" s="204"/>
      <c r="N45" s="204"/>
      <c r="O45" s="204"/>
      <c r="P45" s="204"/>
      <c r="Q45" s="204"/>
      <c r="R45" s="30"/>
      <c r="S45" s="30"/>
    </row>
    <row r="46" spans="1:22" s="22" customFormat="1" x14ac:dyDescent="0.25">
      <c r="A46" s="24"/>
      <c r="B46" s="25" t="s">
        <v>15</v>
      </c>
      <c r="C46" s="88">
        <v>341</v>
      </c>
      <c r="D46" s="284"/>
      <c r="E46" s="284">
        <v>200000</v>
      </c>
      <c r="F46" s="284"/>
      <c r="G46" s="284">
        <f t="shared" si="25"/>
        <v>200000</v>
      </c>
      <c r="H46" s="284">
        <v>136164</v>
      </c>
      <c r="I46" s="284">
        <f t="shared" si="27"/>
        <v>63836</v>
      </c>
      <c r="J46" s="27">
        <f t="shared" si="7"/>
        <v>63836</v>
      </c>
      <c r="K46" s="27"/>
      <c r="L46" s="300"/>
      <c r="M46" s="204"/>
      <c r="N46" s="204"/>
      <c r="O46" s="204"/>
      <c r="P46" s="204"/>
      <c r="Q46" s="204"/>
      <c r="S46" s="30"/>
    </row>
    <row r="47" spans="1:22" s="22" customFormat="1" ht="38.25" customHeight="1" x14ac:dyDescent="0.25">
      <c r="A47" s="24"/>
      <c r="B47" s="25" t="s">
        <v>31</v>
      </c>
      <c r="C47" s="88">
        <v>341</v>
      </c>
      <c r="D47" s="285"/>
      <c r="E47" s="285">
        <v>700000</v>
      </c>
      <c r="F47" s="285"/>
      <c r="G47" s="284">
        <f t="shared" si="25"/>
        <v>700000</v>
      </c>
      <c r="H47" s="284">
        <v>508415</v>
      </c>
      <c r="I47" s="284">
        <f t="shared" si="27"/>
        <v>191585</v>
      </c>
      <c r="J47" s="27">
        <f t="shared" si="7"/>
        <v>191585</v>
      </c>
      <c r="K47" s="27"/>
      <c r="L47" s="300"/>
      <c r="M47" s="204"/>
      <c r="N47" s="204"/>
      <c r="O47" s="204"/>
      <c r="P47" s="204"/>
      <c r="Q47" s="204"/>
      <c r="R47" s="30"/>
      <c r="S47" s="30"/>
    </row>
    <row r="48" spans="1:22" ht="16.5" x14ac:dyDescent="0.25">
      <c r="A48" s="14">
        <v>2</v>
      </c>
      <c r="B48" s="15" t="s">
        <v>32</v>
      </c>
      <c r="C48" s="15"/>
      <c r="D48" s="16">
        <f t="shared" ref="D48:Q48" si="28">SUM(D49:D59)</f>
        <v>0</v>
      </c>
      <c r="E48" s="16">
        <f t="shared" si="28"/>
        <v>448700</v>
      </c>
      <c r="F48" s="16">
        <f t="shared" si="28"/>
        <v>677976</v>
      </c>
      <c r="G48" s="318">
        <f t="shared" si="28"/>
        <v>1126676</v>
      </c>
      <c r="H48" s="318">
        <f t="shared" si="28"/>
        <v>646158</v>
      </c>
      <c r="I48" s="318">
        <f t="shared" si="28"/>
        <v>480518</v>
      </c>
      <c r="J48" s="318">
        <f t="shared" si="28"/>
        <v>480478</v>
      </c>
      <c r="K48" s="318">
        <f t="shared" si="28"/>
        <v>40</v>
      </c>
      <c r="L48" s="299">
        <f t="shared" si="28"/>
        <v>0</v>
      </c>
      <c r="M48" s="16">
        <f t="shared" si="28"/>
        <v>40</v>
      </c>
      <c r="N48" s="16">
        <f t="shared" si="28"/>
        <v>0</v>
      </c>
      <c r="O48" s="16">
        <f t="shared" si="28"/>
        <v>0</v>
      </c>
      <c r="P48" s="16">
        <f t="shared" si="28"/>
        <v>0</v>
      </c>
      <c r="Q48" s="16">
        <f t="shared" si="28"/>
        <v>0</v>
      </c>
      <c r="R48" s="319">
        <f>S48-H48</f>
        <v>-128775.78000000003</v>
      </c>
      <c r="S48" s="131">
        <f>SUM(S49:S51)</f>
        <v>517382.22</v>
      </c>
      <c r="T48" s="155">
        <f>G48-SUM(D48:F48)</f>
        <v>0</v>
      </c>
      <c r="U48" s="155">
        <f>G48-H48-I48</f>
        <v>0</v>
      </c>
      <c r="V48" s="155">
        <f>I48-J48-K48</f>
        <v>0</v>
      </c>
    </row>
    <row r="49" spans="1:22" s="22" customFormat="1" ht="18.75" customHeight="1" x14ac:dyDescent="0.25">
      <c r="A49" s="24"/>
      <c r="B49" s="33" t="s">
        <v>483</v>
      </c>
      <c r="C49" s="88">
        <v>341</v>
      </c>
      <c r="D49" s="285"/>
      <c r="E49" s="285">
        <v>30000</v>
      </c>
      <c r="F49" s="285"/>
      <c r="G49" s="285">
        <f>SUM(D49:F49)</f>
        <v>30000</v>
      </c>
      <c r="H49" s="285">
        <v>29960</v>
      </c>
      <c r="I49" s="285">
        <f>G49-H49</f>
        <v>40</v>
      </c>
      <c r="J49" s="27">
        <f t="shared" si="7"/>
        <v>0</v>
      </c>
      <c r="K49" s="27">
        <f>I49</f>
        <v>40</v>
      </c>
      <c r="L49" s="300"/>
      <c r="M49" s="204">
        <f>K49</f>
        <v>40</v>
      </c>
      <c r="N49" s="204"/>
      <c r="O49" s="204"/>
      <c r="P49" s="204"/>
      <c r="Q49" s="204"/>
      <c r="R49" s="22">
        <v>281</v>
      </c>
      <c r="S49" s="30">
        <v>458962.22</v>
      </c>
    </row>
    <row r="50" spans="1:22" s="22" customFormat="1" ht="18.75" customHeight="1" x14ac:dyDescent="0.25">
      <c r="A50" s="24"/>
      <c r="B50" s="33" t="s">
        <v>484</v>
      </c>
      <c r="C50" s="88">
        <v>341</v>
      </c>
      <c r="D50" s="285"/>
      <c r="E50" s="285">
        <v>20000</v>
      </c>
      <c r="F50" s="285"/>
      <c r="G50" s="285">
        <f t="shared" ref="G50:G51" si="29">SUM(D50:F50)</f>
        <v>20000</v>
      </c>
      <c r="H50" s="285"/>
      <c r="I50" s="285">
        <f t="shared" ref="I50:I53" si="30">G50-H50</f>
        <v>20000</v>
      </c>
      <c r="J50" s="27">
        <f t="shared" si="7"/>
        <v>20000</v>
      </c>
      <c r="K50" s="27"/>
      <c r="L50" s="300"/>
      <c r="M50" s="204"/>
      <c r="N50" s="204"/>
      <c r="O50" s="204"/>
      <c r="P50" s="204"/>
      <c r="Q50" s="204"/>
      <c r="R50" s="22">
        <v>341</v>
      </c>
      <c r="S50" s="30">
        <v>38420</v>
      </c>
    </row>
    <row r="51" spans="1:22" s="22" customFormat="1" ht="21" customHeight="1" x14ac:dyDescent="0.25">
      <c r="A51" s="24"/>
      <c r="B51" s="34" t="s">
        <v>485</v>
      </c>
      <c r="C51" s="88">
        <v>281</v>
      </c>
      <c r="D51" s="285"/>
      <c r="E51" s="285">
        <v>398700</v>
      </c>
      <c r="F51" s="285"/>
      <c r="G51" s="285">
        <f t="shared" si="29"/>
        <v>398700</v>
      </c>
      <c r="H51" s="285">
        <v>100120</v>
      </c>
      <c r="I51" s="285">
        <f t="shared" si="30"/>
        <v>298580</v>
      </c>
      <c r="J51" s="27">
        <f t="shared" si="7"/>
        <v>298580</v>
      </c>
      <c r="K51" s="27"/>
      <c r="L51" s="300"/>
      <c r="M51" s="204"/>
      <c r="N51" s="204"/>
      <c r="O51" s="204"/>
      <c r="P51" s="204"/>
      <c r="Q51" s="204"/>
      <c r="R51" s="54">
        <v>428</v>
      </c>
      <c r="S51" s="30">
        <v>20000</v>
      </c>
    </row>
    <row r="52" spans="1:22" s="22" customFormat="1" ht="20.25" customHeight="1" x14ac:dyDescent="0.25">
      <c r="A52" s="45"/>
      <c r="B52" s="41" t="s">
        <v>608</v>
      </c>
      <c r="C52" s="89">
        <v>341</v>
      </c>
      <c r="D52" s="27"/>
      <c r="E52" s="27"/>
      <c r="F52" s="27">
        <v>30000</v>
      </c>
      <c r="G52" s="27">
        <f>SUM(D52:F52)</f>
        <v>30000</v>
      </c>
      <c r="H52" s="27">
        <v>8460</v>
      </c>
      <c r="I52" s="285">
        <f t="shared" ref="I52" si="31">G52-H52</f>
        <v>21540</v>
      </c>
      <c r="J52" s="27">
        <f t="shared" ref="J52" si="32">I52-K52</f>
        <v>21540</v>
      </c>
      <c r="K52" s="27"/>
      <c r="L52" s="300"/>
      <c r="M52" s="204"/>
      <c r="N52" s="204"/>
      <c r="O52" s="204"/>
      <c r="P52" s="204"/>
      <c r="Q52" s="204"/>
      <c r="R52" s="54"/>
      <c r="S52" s="30"/>
    </row>
    <row r="53" spans="1:22" s="22" customFormat="1" x14ac:dyDescent="0.25">
      <c r="A53" s="45"/>
      <c r="B53" s="25" t="s">
        <v>619</v>
      </c>
      <c r="C53" s="89" t="s">
        <v>614</v>
      </c>
      <c r="D53" s="27"/>
      <c r="E53" s="27"/>
      <c r="F53" s="27">
        <v>1000</v>
      </c>
      <c r="G53" s="27">
        <f>SUM(D53:F53)</f>
        <v>1000</v>
      </c>
      <c r="H53" s="27">
        <f>G53</f>
        <v>1000</v>
      </c>
      <c r="I53" s="285">
        <f t="shared" si="30"/>
        <v>0</v>
      </c>
      <c r="J53" s="27">
        <f t="shared" si="7"/>
        <v>0</v>
      </c>
      <c r="K53" s="27"/>
      <c r="L53" s="300"/>
      <c r="M53" s="204"/>
      <c r="N53" s="204"/>
      <c r="O53" s="204"/>
      <c r="P53" s="204"/>
      <c r="Q53" s="204"/>
      <c r="R53" s="54"/>
      <c r="S53" s="30"/>
    </row>
    <row r="54" spans="1:22" s="22" customFormat="1" x14ac:dyDescent="0.25">
      <c r="A54" s="45"/>
      <c r="B54" s="25" t="s">
        <v>663</v>
      </c>
      <c r="C54" s="89">
        <v>428</v>
      </c>
      <c r="D54" s="27"/>
      <c r="E54" s="27"/>
      <c r="F54" s="27">
        <v>20000</v>
      </c>
      <c r="G54" s="27">
        <f>SUM(D54:F54)</f>
        <v>20000</v>
      </c>
      <c r="H54" s="27">
        <f>G54</f>
        <v>20000</v>
      </c>
      <c r="I54" s="285">
        <f t="shared" ref="I54:I55" si="33">G54-H54</f>
        <v>0</v>
      </c>
      <c r="J54" s="27">
        <f t="shared" ref="J54:J55" si="34">I54-K54</f>
        <v>0</v>
      </c>
      <c r="K54" s="27"/>
      <c r="L54" s="300"/>
      <c r="M54" s="204"/>
      <c r="N54" s="204"/>
      <c r="O54" s="204"/>
      <c r="P54" s="204"/>
      <c r="Q54" s="204"/>
      <c r="R54" s="54"/>
      <c r="S54" s="30"/>
    </row>
    <row r="55" spans="1:22" x14ac:dyDescent="0.25">
      <c r="A55" s="61"/>
      <c r="B55" s="25" t="s">
        <v>693</v>
      </c>
      <c r="C55" s="88">
        <v>281</v>
      </c>
      <c r="D55" s="285"/>
      <c r="E55" s="287"/>
      <c r="F55" s="285">
        <v>14000</v>
      </c>
      <c r="G55" s="285">
        <f t="shared" ref="G55" si="35">SUM(D55:F55)</f>
        <v>14000</v>
      </c>
      <c r="H55" s="285">
        <f>G55</f>
        <v>14000</v>
      </c>
      <c r="I55" s="285">
        <f t="shared" si="33"/>
        <v>0</v>
      </c>
      <c r="J55" s="27">
        <f t="shared" si="34"/>
        <v>0</v>
      </c>
      <c r="K55" s="27"/>
      <c r="L55" s="300" t="s">
        <v>694</v>
      </c>
      <c r="M55" s="204"/>
      <c r="N55" s="204"/>
      <c r="O55" s="204"/>
      <c r="P55" s="204"/>
      <c r="Q55" s="204"/>
    </row>
    <row r="56" spans="1:22" ht="31.5" x14ac:dyDescent="0.25">
      <c r="A56" s="61"/>
      <c r="B56" s="25" t="s">
        <v>703</v>
      </c>
      <c r="C56" s="88">
        <v>281</v>
      </c>
      <c r="D56" s="285"/>
      <c r="E56" s="287"/>
      <c r="F56" s="285">
        <v>50000</v>
      </c>
      <c r="G56" s="285">
        <f t="shared" ref="G56" si="36">SUM(D56:F56)</f>
        <v>50000</v>
      </c>
      <c r="H56" s="285">
        <v>25000</v>
      </c>
      <c r="I56" s="285">
        <f t="shared" ref="I56" si="37">G56-H56</f>
        <v>25000</v>
      </c>
      <c r="J56" s="27">
        <f t="shared" ref="J56" si="38">I56-K56</f>
        <v>25000</v>
      </c>
      <c r="K56" s="27"/>
      <c r="L56" s="300" t="s">
        <v>694</v>
      </c>
      <c r="M56" s="204"/>
      <c r="N56" s="204"/>
      <c r="O56" s="204"/>
      <c r="P56" s="204"/>
      <c r="Q56" s="204"/>
    </row>
    <row r="57" spans="1:22" ht="47.25" x14ac:dyDescent="0.25">
      <c r="A57" s="61"/>
      <c r="B57" s="25" t="s">
        <v>706</v>
      </c>
      <c r="C57" s="88">
        <v>281</v>
      </c>
      <c r="D57" s="285"/>
      <c r="E57" s="287"/>
      <c r="F57" s="285">
        <v>54100</v>
      </c>
      <c r="G57" s="285">
        <f t="shared" ref="G57:G58" si="39">SUM(D57:F57)</f>
        <v>54100</v>
      </c>
      <c r="H57" s="285"/>
      <c r="I57" s="285">
        <f t="shared" ref="I57:I58" si="40">G57-H57</f>
        <v>54100</v>
      </c>
      <c r="J57" s="27">
        <f t="shared" ref="J57:J58" si="41">I57-K57</f>
        <v>54100</v>
      </c>
      <c r="K57" s="27"/>
      <c r="L57" s="300" t="s">
        <v>694</v>
      </c>
      <c r="M57" s="204"/>
      <c r="N57" s="204"/>
      <c r="O57" s="204"/>
      <c r="P57" s="204"/>
      <c r="Q57" s="204"/>
    </row>
    <row r="58" spans="1:22" ht="31.5" x14ac:dyDescent="0.25">
      <c r="A58" s="61"/>
      <c r="B58" s="25" t="s">
        <v>717</v>
      </c>
      <c r="C58" s="88">
        <v>281</v>
      </c>
      <c r="D58" s="285"/>
      <c r="E58" s="287"/>
      <c r="F58" s="285">
        <v>88776</v>
      </c>
      <c r="G58" s="285">
        <f t="shared" si="39"/>
        <v>88776</v>
      </c>
      <c r="H58" s="285">
        <f>G58</f>
        <v>88776</v>
      </c>
      <c r="I58" s="285">
        <f t="shared" si="40"/>
        <v>0</v>
      </c>
      <c r="J58" s="27">
        <f t="shared" si="41"/>
        <v>0</v>
      </c>
      <c r="K58" s="27"/>
      <c r="L58" s="300"/>
      <c r="M58" s="204"/>
      <c r="N58" s="204"/>
      <c r="O58" s="204"/>
      <c r="P58" s="204"/>
      <c r="Q58" s="204"/>
    </row>
    <row r="59" spans="1:22" s="22" customFormat="1" x14ac:dyDescent="0.25">
      <c r="A59" s="45"/>
      <c r="B59" s="41" t="s">
        <v>294</v>
      </c>
      <c r="C59" s="89">
        <v>281</v>
      </c>
      <c r="D59" s="27"/>
      <c r="E59" s="27"/>
      <c r="F59" s="27">
        <v>420100</v>
      </c>
      <c r="G59" s="27">
        <f t="shared" ref="G59" si="42">SUM(D59:F59)</f>
        <v>420100</v>
      </c>
      <c r="H59" s="27">
        <v>358842</v>
      </c>
      <c r="I59" s="285">
        <f t="shared" ref="I59" si="43">G59-H59</f>
        <v>61258</v>
      </c>
      <c r="J59" s="27">
        <f t="shared" ref="J59" si="44">I59-K59</f>
        <v>61258</v>
      </c>
      <c r="K59" s="27"/>
      <c r="L59" s="300"/>
      <c r="M59" s="204"/>
      <c r="N59" s="204"/>
      <c r="O59" s="204"/>
      <c r="P59" s="204"/>
      <c r="Q59" s="204"/>
      <c r="S59" s="30"/>
    </row>
    <row r="60" spans="1:22" ht="16.5" x14ac:dyDescent="0.25">
      <c r="A60" s="14">
        <v>3</v>
      </c>
      <c r="B60" s="15" t="s">
        <v>33</v>
      </c>
      <c r="C60" s="15"/>
      <c r="D60" s="16">
        <f t="shared" ref="D60:Q60" si="45">SUM(D61:D81)</f>
        <v>0</v>
      </c>
      <c r="E60" s="16">
        <f t="shared" si="45"/>
        <v>235200</v>
      </c>
      <c r="F60" s="16">
        <f t="shared" si="45"/>
        <v>37151</v>
      </c>
      <c r="G60" s="318">
        <f t="shared" si="45"/>
        <v>272351</v>
      </c>
      <c r="H60" s="318">
        <f t="shared" si="45"/>
        <v>138453</v>
      </c>
      <c r="I60" s="318">
        <f t="shared" si="45"/>
        <v>133898</v>
      </c>
      <c r="J60" s="318">
        <f t="shared" si="45"/>
        <v>133898</v>
      </c>
      <c r="K60" s="318">
        <f t="shared" si="45"/>
        <v>0</v>
      </c>
      <c r="L60" s="299">
        <f t="shared" si="45"/>
        <v>0</v>
      </c>
      <c r="M60" s="16">
        <f t="shared" si="45"/>
        <v>0</v>
      </c>
      <c r="N60" s="16">
        <f t="shared" si="45"/>
        <v>0</v>
      </c>
      <c r="O60" s="16">
        <f t="shared" si="45"/>
        <v>0</v>
      </c>
      <c r="P60" s="16">
        <f t="shared" si="45"/>
        <v>0</v>
      </c>
      <c r="Q60" s="16">
        <f t="shared" si="45"/>
        <v>0</v>
      </c>
      <c r="R60" s="319">
        <f>S60-H60</f>
        <v>-10650.14</v>
      </c>
      <c r="S60" s="131">
        <f>SUM(S61:S63)</f>
        <v>127802.86</v>
      </c>
      <c r="T60" s="155">
        <f>G60-SUM(D60:F60)</f>
        <v>0</v>
      </c>
      <c r="U60" s="155">
        <f>G60-H60-I60</f>
        <v>0</v>
      </c>
      <c r="V60" s="155">
        <f>I60-J60-K60</f>
        <v>0</v>
      </c>
    </row>
    <row r="61" spans="1:22" s="22" customFormat="1" x14ac:dyDescent="0.25">
      <c r="A61" s="24"/>
      <c r="B61" s="25" t="s">
        <v>34</v>
      </c>
      <c r="C61" s="88">
        <v>341</v>
      </c>
      <c r="D61" s="27"/>
      <c r="E61" s="27">
        <v>13500</v>
      </c>
      <c r="F61" s="27"/>
      <c r="G61" s="27">
        <f>SUM(D61:F61)</f>
        <v>13500</v>
      </c>
      <c r="H61" s="27">
        <v>7000</v>
      </c>
      <c r="I61" s="27">
        <f>G61-H61</f>
        <v>6500</v>
      </c>
      <c r="J61" s="27">
        <f t="shared" ref="J61:J137" si="46">I61-K61</f>
        <v>6500</v>
      </c>
      <c r="K61" s="27"/>
      <c r="L61" s="300"/>
      <c r="M61" s="204"/>
      <c r="N61" s="204"/>
      <c r="O61" s="204"/>
      <c r="P61" s="204"/>
      <c r="Q61" s="204"/>
      <c r="R61" s="22">
        <v>341</v>
      </c>
      <c r="S61" s="30">
        <v>117558.36</v>
      </c>
    </row>
    <row r="62" spans="1:22" s="22" customFormat="1" x14ac:dyDescent="0.25">
      <c r="A62" s="24"/>
      <c r="B62" s="25" t="s">
        <v>36</v>
      </c>
      <c r="C62" s="88">
        <v>341</v>
      </c>
      <c r="D62" s="27"/>
      <c r="E62" s="27">
        <v>6000</v>
      </c>
      <c r="F62" s="27"/>
      <c r="G62" s="27">
        <f t="shared" ref="G62:G78" si="47">SUM(D62:F62)</f>
        <v>6000</v>
      </c>
      <c r="H62" s="27"/>
      <c r="I62" s="27">
        <f t="shared" ref="I62:I78" si="48">G62-H62</f>
        <v>6000</v>
      </c>
      <c r="J62" s="27">
        <f t="shared" si="46"/>
        <v>6000</v>
      </c>
      <c r="K62" s="27"/>
      <c r="L62" s="300"/>
      <c r="M62" s="204"/>
      <c r="N62" s="204"/>
      <c r="O62" s="204"/>
      <c r="P62" s="204"/>
      <c r="Q62" s="204"/>
      <c r="R62" s="22">
        <v>428</v>
      </c>
      <c r="S62" s="30">
        <v>6244.5</v>
      </c>
    </row>
    <row r="63" spans="1:22" s="22" customFormat="1" x14ac:dyDescent="0.25">
      <c r="A63" s="24"/>
      <c r="B63" s="25" t="s">
        <v>35</v>
      </c>
      <c r="C63" s="88">
        <v>341</v>
      </c>
      <c r="D63" s="27"/>
      <c r="E63" s="27">
        <v>45000</v>
      </c>
      <c r="F63" s="27"/>
      <c r="G63" s="27">
        <f t="shared" si="47"/>
        <v>45000</v>
      </c>
      <c r="H63" s="27">
        <v>44911</v>
      </c>
      <c r="I63" s="27">
        <f t="shared" si="48"/>
        <v>89</v>
      </c>
      <c r="J63" s="27">
        <f t="shared" si="46"/>
        <v>89</v>
      </c>
      <c r="K63" s="27"/>
      <c r="L63" s="300"/>
      <c r="M63" s="204"/>
      <c r="N63" s="204"/>
      <c r="O63" s="204"/>
      <c r="P63" s="204"/>
      <c r="Q63" s="204"/>
      <c r="R63" s="137" t="s">
        <v>614</v>
      </c>
      <c r="S63" s="30">
        <v>4000</v>
      </c>
    </row>
    <row r="64" spans="1:22" s="22" customFormat="1" x14ac:dyDescent="0.25">
      <c r="A64" s="24"/>
      <c r="B64" s="25" t="s">
        <v>38</v>
      </c>
      <c r="C64" s="88">
        <v>341</v>
      </c>
      <c r="D64" s="27"/>
      <c r="E64" s="27">
        <v>6500</v>
      </c>
      <c r="F64" s="27"/>
      <c r="G64" s="27">
        <f t="shared" si="47"/>
        <v>6500</v>
      </c>
      <c r="H64" s="27"/>
      <c r="I64" s="27">
        <f t="shared" si="48"/>
        <v>6500</v>
      </c>
      <c r="J64" s="27">
        <f t="shared" si="46"/>
        <v>6500</v>
      </c>
      <c r="K64" s="27"/>
      <c r="L64" s="300"/>
      <c r="M64" s="204"/>
      <c r="N64" s="204"/>
      <c r="O64" s="204"/>
      <c r="P64" s="204"/>
      <c r="Q64" s="204"/>
      <c r="S64" s="30"/>
    </row>
    <row r="65" spans="1:19" s="22" customFormat="1" ht="31.5" x14ac:dyDescent="0.25">
      <c r="A65" s="24"/>
      <c r="B65" s="25" t="s">
        <v>40</v>
      </c>
      <c r="C65" s="88">
        <v>341</v>
      </c>
      <c r="D65" s="27"/>
      <c r="E65" s="27">
        <v>46000</v>
      </c>
      <c r="F65" s="27"/>
      <c r="G65" s="27">
        <f t="shared" si="47"/>
        <v>46000</v>
      </c>
      <c r="H65" s="27">
        <v>27972</v>
      </c>
      <c r="I65" s="27">
        <f t="shared" si="48"/>
        <v>18028</v>
      </c>
      <c r="J65" s="27">
        <f t="shared" si="46"/>
        <v>18028</v>
      </c>
      <c r="K65" s="27"/>
      <c r="L65" s="300"/>
      <c r="M65" s="204"/>
      <c r="N65" s="204"/>
      <c r="O65" s="204"/>
      <c r="P65" s="204"/>
      <c r="Q65" s="204"/>
      <c r="S65" s="30"/>
    </row>
    <row r="66" spans="1:19" s="22" customFormat="1" x14ac:dyDescent="0.25">
      <c r="A66" s="24"/>
      <c r="B66" s="32" t="s">
        <v>41</v>
      </c>
      <c r="C66" s="88">
        <v>341</v>
      </c>
      <c r="D66" s="27"/>
      <c r="E66" s="27">
        <v>5000</v>
      </c>
      <c r="F66" s="27"/>
      <c r="G66" s="27">
        <f t="shared" si="47"/>
        <v>5000</v>
      </c>
      <c r="H66" s="27"/>
      <c r="I66" s="27">
        <f t="shared" si="48"/>
        <v>5000</v>
      </c>
      <c r="J66" s="27">
        <f t="shared" si="46"/>
        <v>5000</v>
      </c>
      <c r="K66" s="27"/>
      <c r="L66" s="300"/>
      <c r="M66" s="204"/>
      <c r="N66" s="204"/>
      <c r="O66" s="204"/>
      <c r="P66" s="204"/>
      <c r="Q66" s="204"/>
      <c r="S66" s="30"/>
    </row>
    <row r="67" spans="1:19" s="22" customFormat="1" ht="31.5" x14ac:dyDescent="0.25">
      <c r="A67" s="24"/>
      <c r="B67" s="35" t="s">
        <v>37</v>
      </c>
      <c r="C67" s="88">
        <v>341</v>
      </c>
      <c r="D67" s="27"/>
      <c r="E67" s="27">
        <v>6000</v>
      </c>
      <c r="F67" s="27"/>
      <c r="G67" s="27">
        <f t="shared" si="47"/>
        <v>6000</v>
      </c>
      <c r="H67" s="27">
        <f>G67</f>
        <v>6000</v>
      </c>
      <c r="I67" s="27">
        <f t="shared" si="48"/>
        <v>0</v>
      </c>
      <c r="J67" s="27">
        <f t="shared" si="46"/>
        <v>0</v>
      </c>
      <c r="K67" s="27"/>
      <c r="L67" s="300"/>
      <c r="M67" s="204"/>
      <c r="N67" s="204"/>
      <c r="O67" s="204"/>
      <c r="P67" s="204"/>
      <c r="Q67" s="204"/>
      <c r="S67" s="30"/>
    </row>
    <row r="68" spans="1:19" s="22" customFormat="1" ht="58.5" customHeight="1" x14ac:dyDescent="0.25">
      <c r="A68" s="24"/>
      <c r="B68" s="25" t="s">
        <v>39</v>
      </c>
      <c r="C68" s="88">
        <v>341</v>
      </c>
      <c r="D68" s="27"/>
      <c r="E68" s="27">
        <v>16000</v>
      </c>
      <c r="F68" s="27"/>
      <c r="G68" s="27">
        <f t="shared" si="47"/>
        <v>16000</v>
      </c>
      <c r="H68" s="27">
        <v>10130</v>
      </c>
      <c r="I68" s="27">
        <f t="shared" si="48"/>
        <v>5870</v>
      </c>
      <c r="J68" s="27">
        <f t="shared" si="46"/>
        <v>5870</v>
      </c>
      <c r="K68" s="27"/>
      <c r="L68" s="300"/>
      <c r="M68" s="204"/>
      <c r="N68" s="204"/>
      <c r="O68" s="204"/>
      <c r="P68" s="204"/>
      <c r="Q68" s="204"/>
      <c r="S68" s="30"/>
    </row>
    <row r="69" spans="1:19" s="22" customFormat="1" ht="57" customHeight="1" x14ac:dyDescent="0.25">
      <c r="A69" s="24"/>
      <c r="B69" s="32" t="s">
        <v>43</v>
      </c>
      <c r="C69" s="88">
        <v>341</v>
      </c>
      <c r="D69" s="27"/>
      <c r="E69" s="27">
        <f>400*30</f>
        <v>12000</v>
      </c>
      <c r="F69" s="27"/>
      <c r="G69" s="27">
        <f t="shared" si="47"/>
        <v>12000</v>
      </c>
      <c r="H69" s="27"/>
      <c r="I69" s="27">
        <f t="shared" si="48"/>
        <v>12000</v>
      </c>
      <c r="J69" s="27">
        <f t="shared" si="46"/>
        <v>12000</v>
      </c>
      <c r="K69" s="27"/>
      <c r="L69" s="300"/>
      <c r="M69" s="204"/>
      <c r="N69" s="204"/>
      <c r="O69" s="204"/>
      <c r="P69" s="204"/>
      <c r="Q69" s="204"/>
      <c r="S69" s="30"/>
    </row>
    <row r="70" spans="1:19" s="22" customFormat="1" ht="35.25" customHeight="1" x14ac:dyDescent="0.25">
      <c r="A70" s="24"/>
      <c r="B70" s="32" t="s">
        <v>486</v>
      </c>
      <c r="C70" s="88">
        <v>341</v>
      </c>
      <c r="D70" s="27"/>
      <c r="E70" s="27">
        <v>10000</v>
      </c>
      <c r="F70" s="27"/>
      <c r="G70" s="27">
        <f t="shared" si="47"/>
        <v>10000</v>
      </c>
      <c r="H70" s="27"/>
      <c r="I70" s="27">
        <f t="shared" si="48"/>
        <v>10000</v>
      </c>
      <c r="J70" s="27">
        <f t="shared" si="46"/>
        <v>10000</v>
      </c>
      <c r="K70" s="27"/>
      <c r="L70" s="300"/>
      <c r="M70" s="204"/>
      <c r="N70" s="204"/>
      <c r="O70" s="204"/>
      <c r="P70" s="204"/>
      <c r="Q70" s="204"/>
      <c r="S70" s="30"/>
    </row>
    <row r="71" spans="1:19" s="22" customFormat="1" ht="53.25" customHeight="1" x14ac:dyDescent="0.25">
      <c r="A71" s="24"/>
      <c r="B71" s="32" t="s">
        <v>42</v>
      </c>
      <c r="C71" s="88">
        <v>341</v>
      </c>
      <c r="D71" s="27"/>
      <c r="E71" s="27">
        <v>4000</v>
      </c>
      <c r="F71" s="27"/>
      <c r="G71" s="27">
        <f t="shared" si="47"/>
        <v>4000</v>
      </c>
      <c r="H71" s="27"/>
      <c r="I71" s="27">
        <f t="shared" si="48"/>
        <v>4000</v>
      </c>
      <c r="J71" s="27">
        <f t="shared" si="46"/>
        <v>4000</v>
      </c>
      <c r="K71" s="27"/>
      <c r="L71" s="300"/>
      <c r="M71" s="204"/>
      <c r="N71" s="204"/>
      <c r="O71" s="204"/>
      <c r="P71" s="204"/>
      <c r="Q71" s="204"/>
      <c r="S71" s="30"/>
    </row>
    <row r="72" spans="1:19" s="22" customFormat="1" ht="35.25" customHeight="1" x14ac:dyDescent="0.25">
      <c r="A72" s="24"/>
      <c r="B72" s="32" t="s">
        <v>44</v>
      </c>
      <c r="C72" s="88">
        <v>341</v>
      </c>
      <c r="D72" s="27"/>
      <c r="E72" s="27">
        <v>10000</v>
      </c>
      <c r="F72" s="27"/>
      <c r="G72" s="27">
        <f t="shared" si="47"/>
        <v>10000</v>
      </c>
      <c r="H72" s="27"/>
      <c r="I72" s="27">
        <f t="shared" si="48"/>
        <v>10000</v>
      </c>
      <c r="J72" s="27">
        <f t="shared" si="46"/>
        <v>10000</v>
      </c>
      <c r="K72" s="27"/>
      <c r="L72" s="300"/>
      <c r="M72" s="204"/>
      <c r="N72" s="204"/>
      <c r="O72" s="204"/>
      <c r="P72" s="204"/>
      <c r="Q72" s="204"/>
      <c r="S72" s="30"/>
    </row>
    <row r="73" spans="1:19" s="22" customFormat="1" x14ac:dyDescent="0.25">
      <c r="A73" s="24"/>
      <c r="B73" s="32" t="s">
        <v>45</v>
      </c>
      <c r="C73" s="88">
        <v>341</v>
      </c>
      <c r="D73" s="27"/>
      <c r="E73" s="27">
        <v>6000</v>
      </c>
      <c r="F73" s="27"/>
      <c r="G73" s="27">
        <f t="shared" si="47"/>
        <v>6000</v>
      </c>
      <c r="H73" s="27">
        <f>G73</f>
        <v>6000</v>
      </c>
      <c r="I73" s="27">
        <f t="shared" si="48"/>
        <v>0</v>
      </c>
      <c r="J73" s="27">
        <f t="shared" si="46"/>
        <v>0</v>
      </c>
      <c r="K73" s="27"/>
      <c r="L73" s="300"/>
      <c r="M73" s="204"/>
      <c r="N73" s="204"/>
      <c r="O73" s="204"/>
      <c r="P73" s="204"/>
      <c r="Q73" s="204"/>
      <c r="S73" s="30"/>
    </row>
    <row r="74" spans="1:19" s="22" customFormat="1" x14ac:dyDescent="0.25">
      <c r="A74" s="24"/>
      <c r="B74" s="32" t="s">
        <v>487</v>
      </c>
      <c r="C74" s="88">
        <v>341</v>
      </c>
      <c r="D74" s="27"/>
      <c r="E74" s="27">
        <v>6000</v>
      </c>
      <c r="F74" s="27"/>
      <c r="G74" s="27">
        <f t="shared" si="47"/>
        <v>6000</v>
      </c>
      <c r="H74" s="27">
        <f>G74</f>
        <v>6000</v>
      </c>
      <c r="I74" s="27">
        <f t="shared" si="48"/>
        <v>0</v>
      </c>
      <c r="J74" s="27">
        <f t="shared" si="46"/>
        <v>0</v>
      </c>
      <c r="K74" s="27"/>
      <c r="L74" s="300"/>
      <c r="M74" s="204"/>
      <c r="N74" s="204"/>
      <c r="O74" s="204"/>
      <c r="P74" s="204"/>
      <c r="Q74" s="204"/>
      <c r="S74" s="30"/>
    </row>
    <row r="75" spans="1:19" s="38" customFormat="1" ht="31.5" x14ac:dyDescent="0.25">
      <c r="A75" s="36"/>
      <c r="B75" s="32" t="s">
        <v>488</v>
      </c>
      <c r="C75" s="88">
        <v>341</v>
      </c>
      <c r="D75" s="37"/>
      <c r="E75" s="27">
        <v>16000</v>
      </c>
      <c r="F75" s="37"/>
      <c r="G75" s="27">
        <f t="shared" si="47"/>
        <v>16000</v>
      </c>
      <c r="H75" s="37"/>
      <c r="I75" s="27">
        <f t="shared" si="48"/>
        <v>16000</v>
      </c>
      <c r="J75" s="27">
        <f t="shared" si="46"/>
        <v>16000</v>
      </c>
      <c r="K75" s="37"/>
      <c r="L75" s="302"/>
      <c r="M75" s="205"/>
      <c r="N75" s="205"/>
      <c r="O75" s="205"/>
      <c r="P75" s="205"/>
      <c r="Q75" s="205"/>
      <c r="S75" s="125"/>
    </row>
    <row r="76" spans="1:19" s="38" customFormat="1" ht="31.5" x14ac:dyDescent="0.25">
      <c r="A76" s="36"/>
      <c r="B76" s="32" t="s">
        <v>725</v>
      </c>
      <c r="C76" s="88">
        <v>341</v>
      </c>
      <c r="D76" s="37"/>
      <c r="E76" s="27">
        <v>2200</v>
      </c>
      <c r="F76" s="37"/>
      <c r="G76" s="27">
        <f t="shared" si="47"/>
        <v>2200</v>
      </c>
      <c r="H76" s="27">
        <v>2195</v>
      </c>
      <c r="I76" s="27">
        <f t="shared" si="48"/>
        <v>5</v>
      </c>
      <c r="J76" s="27">
        <f t="shared" si="46"/>
        <v>5</v>
      </c>
      <c r="K76" s="37"/>
      <c r="L76" s="302"/>
      <c r="M76" s="205"/>
      <c r="N76" s="205"/>
      <c r="O76" s="205"/>
      <c r="P76" s="205"/>
      <c r="Q76" s="205"/>
      <c r="S76" s="125"/>
    </row>
    <row r="77" spans="1:19" s="38" customFormat="1" x14ac:dyDescent="0.25">
      <c r="A77" s="36"/>
      <c r="B77" s="32" t="s">
        <v>489</v>
      </c>
      <c r="C77" s="88">
        <v>341</v>
      </c>
      <c r="D77" s="37"/>
      <c r="E77" s="27">
        <v>10000</v>
      </c>
      <c r="F77" s="37"/>
      <c r="G77" s="27">
        <f t="shared" si="47"/>
        <v>10000</v>
      </c>
      <c r="H77" s="37">
        <f>G77</f>
        <v>10000</v>
      </c>
      <c r="I77" s="27">
        <f t="shared" si="48"/>
        <v>0</v>
      </c>
      <c r="J77" s="27">
        <f t="shared" si="46"/>
        <v>0</v>
      </c>
      <c r="K77" s="37"/>
      <c r="L77" s="302"/>
      <c r="M77" s="205"/>
      <c r="N77" s="205"/>
      <c r="O77" s="205"/>
      <c r="P77" s="205"/>
      <c r="Q77" s="205"/>
      <c r="S77" s="125"/>
    </row>
    <row r="78" spans="1:19" s="38" customFormat="1" ht="33.75" customHeight="1" x14ac:dyDescent="0.25">
      <c r="A78" s="36"/>
      <c r="B78" s="32" t="s">
        <v>490</v>
      </c>
      <c r="C78" s="88">
        <v>341</v>
      </c>
      <c r="D78" s="37"/>
      <c r="E78" s="27">
        <v>15000</v>
      </c>
      <c r="F78" s="37"/>
      <c r="G78" s="27">
        <f t="shared" si="47"/>
        <v>15000</v>
      </c>
      <c r="H78" s="37"/>
      <c r="I78" s="27">
        <f t="shared" si="48"/>
        <v>15000</v>
      </c>
      <c r="J78" s="27">
        <f t="shared" si="46"/>
        <v>15000</v>
      </c>
      <c r="K78" s="37"/>
      <c r="L78" s="302"/>
      <c r="M78" s="205"/>
      <c r="N78" s="205"/>
      <c r="O78" s="205"/>
      <c r="P78" s="205"/>
      <c r="Q78" s="205"/>
      <c r="S78" s="125"/>
    </row>
    <row r="79" spans="1:19" s="38" customFormat="1" ht="22.5" customHeight="1" x14ac:dyDescent="0.25">
      <c r="A79" s="36"/>
      <c r="B79" s="25" t="s">
        <v>619</v>
      </c>
      <c r="C79" s="110" t="s">
        <v>614</v>
      </c>
      <c r="D79" s="37"/>
      <c r="E79" s="27"/>
      <c r="F79" s="27">
        <v>4000</v>
      </c>
      <c r="G79" s="27">
        <f t="shared" ref="G79" si="49">SUM(D79:F79)</f>
        <v>4000</v>
      </c>
      <c r="H79" s="27">
        <f>G79</f>
        <v>4000</v>
      </c>
      <c r="I79" s="27">
        <f t="shared" ref="I79" si="50">G79-H79</f>
        <v>0</v>
      </c>
      <c r="J79" s="27">
        <f t="shared" ref="J79" si="51">I79-K79</f>
        <v>0</v>
      </c>
      <c r="K79" s="37"/>
      <c r="L79" s="302"/>
      <c r="M79" s="205"/>
      <c r="N79" s="205"/>
      <c r="O79" s="205"/>
      <c r="P79" s="205"/>
      <c r="Q79" s="205"/>
      <c r="S79" s="125"/>
    </row>
    <row r="80" spans="1:19" s="38" customFormat="1" ht="22.5" customHeight="1" x14ac:dyDescent="0.25">
      <c r="A80" s="36"/>
      <c r="B80" s="25" t="s">
        <v>663</v>
      </c>
      <c r="C80" s="110">
        <v>428</v>
      </c>
      <c r="D80" s="37"/>
      <c r="E80" s="27"/>
      <c r="F80" s="27">
        <v>8000</v>
      </c>
      <c r="G80" s="27">
        <f t="shared" ref="G80" si="52">SUM(D80:F80)</f>
        <v>8000</v>
      </c>
      <c r="H80" s="27">
        <f>G80</f>
        <v>8000</v>
      </c>
      <c r="I80" s="27">
        <f t="shared" ref="I80" si="53">G80-H80</f>
        <v>0</v>
      </c>
      <c r="J80" s="27">
        <f t="shared" ref="J80" si="54">I80-K80</f>
        <v>0</v>
      </c>
      <c r="K80" s="37"/>
      <c r="L80" s="302"/>
      <c r="M80" s="205"/>
      <c r="N80" s="205"/>
      <c r="O80" s="205"/>
      <c r="P80" s="205"/>
      <c r="Q80" s="205"/>
      <c r="S80" s="125"/>
    </row>
    <row r="81" spans="1:22" s="38" customFormat="1" ht="31.5" x14ac:dyDescent="0.25">
      <c r="A81" s="36"/>
      <c r="B81" s="25" t="s">
        <v>679</v>
      </c>
      <c r="C81" s="110">
        <v>428</v>
      </c>
      <c r="D81" s="37"/>
      <c r="E81" s="27"/>
      <c r="F81" s="27">
        <v>25151</v>
      </c>
      <c r="G81" s="27">
        <f t="shared" ref="G81" si="55">SUM(D81:F81)</f>
        <v>25151</v>
      </c>
      <c r="H81" s="27">
        <v>6245</v>
      </c>
      <c r="I81" s="27">
        <f t="shared" ref="I81" si="56">G81-H81</f>
        <v>18906</v>
      </c>
      <c r="J81" s="27">
        <f t="shared" ref="J81" si="57">I81-K81</f>
        <v>18906</v>
      </c>
      <c r="K81" s="37"/>
      <c r="L81" s="302"/>
      <c r="M81" s="205"/>
      <c r="N81" s="205"/>
      <c r="O81" s="205"/>
      <c r="P81" s="205"/>
      <c r="Q81" s="205"/>
      <c r="S81" s="125"/>
    </row>
    <row r="82" spans="1:22" ht="16.5" x14ac:dyDescent="0.25">
      <c r="A82" s="14">
        <v>4</v>
      </c>
      <c r="B82" s="15" t="s">
        <v>46</v>
      </c>
      <c r="C82" s="15"/>
      <c r="D82" s="16">
        <f t="shared" ref="D82:Q82" si="58">SUM(D83:D97)</f>
        <v>0</v>
      </c>
      <c r="E82" s="16">
        <f t="shared" si="58"/>
        <v>1303358</v>
      </c>
      <c r="F82" s="16">
        <f t="shared" si="58"/>
        <v>389790</v>
      </c>
      <c r="G82" s="318">
        <f>SUM(G83:G97)</f>
        <v>1693148</v>
      </c>
      <c r="H82" s="318">
        <f t="shared" si="58"/>
        <v>429034</v>
      </c>
      <c r="I82" s="318">
        <f t="shared" si="58"/>
        <v>1264114</v>
      </c>
      <c r="J82" s="318">
        <f t="shared" si="58"/>
        <v>1263438</v>
      </c>
      <c r="K82" s="318">
        <f t="shared" si="58"/>
        <v>676</v>
      </c>
      <c r="L82" s="299">
        <f t="shared" si="58"/>
        <v>0</v>
      </c>
      <c r="M82" s="16">
        <f t="shared" si="58"/>
        <v>234</v>
      </c>
      <c r="N82" s="16">
        <f t="shared" si="58"/>
        <v>0</v>
      </c>
      <c r="O82" s="16">
        <f t="shared" si="58"/>
        <v>442</v>
      </c>
      <c r="P82" s="16">
        <f t="shared" si="58"/>
        <v>0</v>
      </c>
      <c r="Q82" s="16">
        <f t="shared" si="58"/>
        <v>0</v>
      </c>
      <c r="R82" s="319">
        <f>S82-H82</f>
        <v>151674</v>
      </c>
      <c r="S82" s="131">
        <f>SUM(S83:S87)</f>
        <v>580708</v>
      </c>
      <c r="T82" s="155">
        <f>G82-SUM(D82:F82)</f>
        <v>0</v>
      </c>
      <c r="U82" s="155">
        <f>G82-H82-I82</f>
        <v>0</v>
      </c>
      <c r="V82" s="155">
        <f>I82-J82-K82</f>
        <v>0</v>
      </c>
    </row>
    <row r="83" spans="1:22" s="22" customFormat="1" x14ac:dyDescent="0.25">
      <c r="A83" s="24"/>
      <c r="B83" s="25" t="s">
        <v>47</v>
      </c>
      <c r="C83" s="88">
        <v>341</v>
      </c>
      <c r="D83" s="27"/>
      <c r="E83" s="27">
        <v>100000</v>
      </c>
      <c r="F83" s="27"/>
      <c r="G83" s="27">
        <f>SUM(D83:F83)</f>
        <v>100000</v>
      </c>
      <c r="H83" s="27">
        <v>99766</v>
      </c>
      <c r="I83" s="27">
        <f>G83-H83</f>
        <v>234</v>
      </c>
      <c r="J83" s="27">
        <f t="shared" si="46"/>
        <v>0</v>
      </c>
      <c r="K83" s="27">
        <f>I83</f>
        <v>234</v>
      </c>
      <c r="L83" s="300"/>
      <c r="M83" s="204">
        <f>K83</f>
        <v>234</v>
      </c>
      <c r="N83" s="204"/>
      <c r="O83" s="204"/>
      <c r="P83" s="204"/>
      <c r="Q83" s="204"/>
      <c r="R83" s="22">
        <v>338</v>
      </c>
      <c r="S83" s="30">
        <v>16500</v>
      </c>
    </row>
    <row r="84" spans="1:22" s="22" customFormat="1" x14ac:dyDescent="0.25">
      <c r="A84" s="24"/>
      <c r="B84" s="25" t="s">
        <v>48</v>
      </c>
      <c r="C84" s="88">
        <v>341</v>
      </c>
      <c r="D84" s="27"/>
      <c r="E84" s="27">
        <v>100000</v>
      </c>
      <c r="F84" s="27"/>
      <c r="G84" s="27">
        <f t="shared" ref="G84:G97" si="59">SUM(D84:F84)</f>
        <v>100000</v>
      </c>
      <c r="H84" s="27"/>
      <c r="I84" s="27">
        <f t="shared" ref="I84:I97" si="60">G84-H84</f>
        <v>100000</v>
      </c>
      <c r="J84" s="27">
        <f t="shared" si="46"/>
        <v>100000</v>
      </c>
      <c r="K84" s="27"/>
      <c r="L84" s="300"/>
      <c r="M84" s="204"/>
      <c r="N84" s="204"/>
      <c r="O84" s="204"/>
      <c r="P84" s="204"/>
      <c r="Q84" s="204"/>
      <c r="R84" s="22">
        <v>341</v>
      </c>
      <c r="S84" s="30">
        <v>255059</v>
      </c>
    </row>
    <row r="85" spans="1:22" s="22" customFormat="1" x14ac:dyDescent="0.25">
      <c r="A85" s="24"/>
      <c r="B85" s="25" t="s">
        <v>49</v>
      </c>
      <c r="C85" s="88">
        <v>341</v>
      </c>
      <c r="D85" s="27"/>
      <c r="E85" s="27">
        <v>50000</v>
      </c>
      <c r="F85" s="27"/>
      <c r="G85" s="27">
        <f t="shared" si="59"/>
        <v>50000</v>
      </c>
      <c r="H85" s="27"/>
      <c r="I85" s="27">
        <f t="shared" si="60"/>
        <v>50000</v>
      </c>
      <c r="J85" s="27">
        <f t="shared" si="46"/>
        <v>50000</v>
      </c>
      <c r="K85" s="27"/>
      <c r="L85" s="300"/>
      <c r="M85" s="204"/>
      <c r="N85" s="204"/>
      <c r="O85" s="204"/>
      <c r="P85" s="204"/>
      <c r="Q85" s="204"/>
      <c r="R85" s="22">
        <v>428</v>
      </c>
      <c r="S85" s="30">
        <v>124300</v>
      </c>
    </row>
    <row r="86" spans="1:22" s="22" customFormat="1" x14ac:dyDescent="0.25">
      <c r="A86" s="24"/>
      <c r="B86" s="25" t="s">
        <v>50</v>
      </c>
      <c r="C86" s="88">
        <v>341</v>
      </c>
      <c r="D86" s="27"/>
      <c r="E86" s="27">
        <v>5000</v>
      </c>
      <c r="F86" s="27"/>
      <c r="G86" s="27">
        <f t="shared" si="59"/>
        <v>5000</v>
      </c>
      <c r="H86" s="27"/>
      <c r="I86" s="27">
        <f t="shared" si="60"/>
        <v>5000</v>
      </c>
      <c r="J86" s="27">
        <f t="shared" si="46"/>
        <v>5000</v>
      </c>
      <c r="K86" s="27"/>
      <c r="L86" s="300"/>
      <c r="M86" s="204"/>
      <c r="N86" s="204"/>
      <c r="O86" s="204"/>
      <c r="P86" s="204"/>
      <c r="Q86" s="204"/>
      <c r="R86" s="137" t="s">
        <v>614</v>
      </c>
      <c r="S86" s="30">
        <v>7000</v>
      </c>
    </row>
    <row r="87" spans="1:22" s="22" customFormat="1" ht="31.5" x14ac:dyDescent="0.25">
      <c r="A87" s="24"/>
      <c r="B87" s="25" t="s">
        <v>491</v>
      </c>
      <c r="C87" s="88">
        <v>341</v>
      </c>
      <c r="D87" s="27"/>
      <c r="E87" s="27">
        <v>538358</v>
      </c>
      <c r="F87" s="27"/>
      <c r="G87" s="27">
        <f t="shared" si="59"/>
        <v>538358</v>
      </c>
      <c r="H87" s="27"/>
      <c r="I87" s="27">
        <f t="shared" si="60"/>
        <v>538358</v>
      </c>
      <c r="J87" s="27">
        <f t="shared" si="46"/>
        <v>538358</v>
      </c>
      <c r="K87" s="27"/>
      <c r="L87" s="300"/>
      <c r="M87" s="204"/>
      <c r="N87" s="204"/>
      <c r="O87" s="204"/>
      <c r="P87" s="204"/>
      <c r="Q87" s="204"/>
      <c r="R87" s="22">
        <v>281</v>
      </c>
      <c r="S87" s="30">
        <v>177849</v>
      </c>
    </row>
    <row r="88" spans="1:22" s="22" customFormat="1" x14ac:dyDescent="0.25">
      <c r="A88" s="45"/>
      <c r="B88" s="25" t="s">
        <v>492</v>
      </c>
      <c r="C88" s="89">
        <v>338</v>
      </c>
      <c r="D88" s="27"/>
      <c r="E88" s="27">
        <v>500000</v>
      </c>
      <c r="F88" s="27"/>
      <c r="G88" s="27">
        <f t="shared" ref="G88:G94" si="61">SUM(D88:F88)</f>
        <v>500000</v>
      </c>
      <c r="H88" s="27"/>
      <c r="I88" s="27">
        <f t="shared" si="60"/>
        <v>500000</v>
      </c>
      <c r="J88" s="27">
        <f t="shared" si="46"/>
        <v>500000</v>
      </c>
      <c r="K88" s="27"/>
      <c r="L88" s="300"/>
      <c r="M88" s="204"/>
      <c r="N88" s="204"/>
      <c r="O88" s="204"/>
      <c r="P88" s="204"/>
      <c r="Q88" s="204"/>
      <c r="S88" s="30"/>
    </row>
    <row r="89" spans="1:22" s="22" customFormat="1" x14ac:dyDescent="0.25">
      <c r="A89" s="45"/>
      <c r="B89" s="25" t="s">
        <v>51</v>
      </c>
      <c r="C89" s="89">
        <v>341</v>
      </c>
      <c r="D89" s="27"/>
      <c r="E89" s="27">
        <v>10000</v>
      </c>
      <c r="F89" s="27"/>
      <c r="G89" s="27">
        <f t="shared" si="61"/>
        <v>10000</v>
      </c>
      <c r="H89" s="27"/>
      <c r="I89" s="27">
        <f t="shared" si="60"/>
        <v>10000</v>
      </c>
      <c r="J89" s="27">
        <f t="shared" si="46"/>
        <v>10000</v>
      </c>
      <c r="K89" s="27"/>
      <c r="L89" s="300"/>
      <c r="M89" s="204"/>
      <c r="N89" s="204"/>
      <c r="O89" s="204"/>
      <c r="P89" s="204"/>
      <c r="Q89" s="204"/>
      <c r="S89" s="30"/>
    </row>
    <row r="90" spans="1:22" s="22" customFormat="1" x14ac:dyDescent="0.25">
      <c r="A90" s="45"/>
      <c r="B90" s="25" t="s">
        <v>607</v>
      </c>
      <c r="C90" s="89">
        <v>341</v>
      </c>
      <c r="D90" s="27"/>
      <c r="E90" s="27"/>
      <c r="F90" s="27">
        <v>30000</v>
      </c>
      <c r="G90" s="27">
        <f t="shared" si="61"/>
        <v>30000</v>
      </c>
      <c r="H90" s="27">
        <v>7020</v>
      </c>
      <c r="I90" s="27">
        <f t="shared" ref="I90" si="62">G90-H90</f>
        <v>22980</v>
      </c>
      <c r="J90" s="27">
        <f t="shared" ref="J90" si="63">I90-K90</f>
        <v>22980</v>
      </c>
      <c r="K90" s="27"/>
      <c r="L90" s="300"/>
      <c r="M90" s="204"/>
      <c r="N90" s="204"/>
      <c r="O90" s="204"/>
      <c r="P90" s="204"/>
      <c r="Q90" s="204"/>
      <c r="S90" s="30"/>
    </row>
    <row r="91" spans="1:22" s="22" customFormat="1" x14ac:dyDescent="0.25">
      <c r="A91" s="45"/>
      <c r="B91" s="25" t="s">
        <v>619</v>
      </c>
      <c r="C91" s="89" t="s">
        <v>614</v>
      </c>
      <c r="D91" s="27"/>
      <c r="E91" s="27"/>
      <c r="F91" s="27">
        <v>7000</v>
      </c>
      <c r="G91" s="27">
        <f t="shared" si="61"/>
        <v>7000</v>
      </c>
      <c r="H91" s="27">
        <f>G91</f>
        <v>7000</v>
      </c>
      <c r="I91" s="27">
        <f t="shared" ref="I91" si="64">G91-H91</f>
        <v>0</v>
      </c>
      <c r="J91" s="27">
        <f t="shared" ref="J91" si="65">I91-K91</f>
        <v>0</v>
      </c>
      <c r="K91" s="27"/>
      <c r="L91" s="300"/>
      <c r="M91" s="204"/>
      <c r="N91" s="204"/>
      <c r="O91" s="204"/>
      <c r="P91" s="204"/>
      <c r="Q91" s="204"/>
      <c r="S91" s="30"/>
    </row>
    <row r="92" spans="1:22" s="22" customFormat="1" ht="63" x14ac:dyDescent="0.25">
      <c r="A92" s="45"/>
      <c r="B92" s="25" t="s">
        <v>648</v>
      </c>
      <c r="C92" s="89">
        <v>338</v>
      </c>
      <c r="D92" s="27"/>
      <c r="E92" s="27"/>
      <c r="F92" s="27">
        <v>43600</v>
      </c>
      <c r="G92" s="27">
        <f t="shared" si="61"/>
        <v>43600</v>
      </c>
      <c r="H92" s="27">
        <v>16500</v>
      </c>
      <c r="I92" s="27">
        <f t="shared" ref="I92" si="66">G92-H92</f>
        <v>27100</v>
      </c>
      <c r="J92" s="27">
        <f t="shared" ref="J92" si="67">I92-K92</f>
        <v>27100</v>
      </c>
      <c r="K92" s="27"/>
      <c r="L92" s="300"/>
      <c r="M92" s="204"/>
      <c r="N92" s="204"/>
      <c r="O92" s="204"/>
      <c r="P92" s="204"/>
      <c r="Q92" s="204"/>
      <c r="S92" s="30"/>
    </row>
    <row r="93" spans="1:22" s="22" customFormat="1" x14ac:dyDescent="0.25">
      <c r="A93" s="45"/>
      <c r="B93" s="25" t="s">
        <v>663</v>
      </c>
      <c r="C93" s="89">
        <v>428</v>
      </c>
      <c r="D93" s="27"/>
      <c r="E93" s="27"/>
      <c r="F93" s="27">
        <v>10000</v>
      </c>
      <c r="G93" s="27">
        <f t="shared" si="61"/>
        <v>10000</v>
      </c>
      <c r="H93" s="27"/>
      <c r="I93" s="27">
        <f t="shared" ref="I93:I96" si="68">G93-H93</f>
        <v>10000</v>
      </c>
      <c r="J93" s="27">
        <f t="shared" ref="J93:J96" si="69">I93-K93</f>
        <v>10000</v>
      </c>
      <c r="K93" s="27"/>
      <c r="L93" s="300"/>
      <c r="M93" s="204"/>
      <c r="N93" s="204"/>
      <c r="O93" s="204"/>
      <c r="P93" s="204"/>
      <c r="Q93" s="204"/>
      <c r="S93" s="30"/>
    </row>
    <row r="94" spans="1:22" s="22" customFormat="1" ht="31.5" x14ac:dyDescent="0.25">
      <c r="A94" s="45"/>
      <c r="B94" s="25" t="s">
        <v>668</v>
      </c>
      <c r="C94" s="89">
        <v>428</v>
      </c>
      <c r="D94" s="27"/>
      <c r="E94" s="27"/>
      <c r="F94" s="27">
        <v>120900</v>
      </c>
      <c r="G94" s="27">
        <f t="shared" si="61"/>
        <v>120900</v>
      </c>
      <c r="H94" s="27">
        <f>G94</f>
        <v>120900</v>
      </c>
      <c r="I94" s="27">
        <f t="shared" si="68"/>
        <v>0</v>
      </c>
      <c r="J94" s="27">
        <f t="shared" si="69"/>
        <v>0</v>
      </c>
      <c r="K94" s="27"/>
      <c r="L94" s="300"/>
      <c r="M94" s="204"/>
      <c r="N94" s="204"/>
      <c r="O94" s="204"/>
      <c r="P94" s="204"/>
      <c r="Q94" s="204"/>
      <c r="S94" s="30"/>
    </row>
    <row r="95" spans="1:22" x14ac:dyDescent="0.25">
      <c r="A95" s="61"/>
      <c r="B95" s="25" t="s">
        <v>693</v>
      </c>
      <c r="C95" s="88">
        <v>281</v>
      </c>
      <c r="D95" s="285"/>
      <c r="E95" s="287"/>
      <c r="F95" s="285">
        <v>133000</v>
      </c>
      <c r="G95" s="285">
        <f t="shared" ref="G95:G96" si="70">SUM(D95:F95)</f>
        <v>133000</v>
      </c>
      <c r="H95" s="285">
        <v>132615</v>
      </c>
      <c r="I95" s="285">
        <f t="shared" si="68"/>
        <v>385</v>
      </c>
      <c r="J95" s="27">
        <f t="shared" si="69"/>
        <v>0</v>
      </c>
      <c r="K95" s="27">
        <f>I95</f>
        <v>385</v>
      </c>
      <c r="L95" s="300" t="s">
        <v>694</v>
      </c>
      <c r="M95" s="204"/>
      <c r="N95" s="204"/>
      <c r="O95" s="204">
        <f>K95</f>
        <v>385</v>
      </c>
      <c r="P95" s="204"/>
      <c r="Q95" s="204"/>
    </row>
    <row r="96" spans="1:22" ht="31.5" x14ac:dyDescent="0.25">
      <c r="A96" s="61"/>
      <c r="B96" s="25" t="s">
        <v>717</v>
      </c>
      <c r="C96" s="88">
        <v>281</v>
      </c>
      <c r="D96" s="285"/>
      <c r="E96" s="287"/>
      <c r="F96" s="285">
        <v>14390</v>
      </c>
      <c r="G96" s="285">
        <f t="shared" si="70"/>
        <v>14390</v>
      </c>
      <c r="H96" s="285">
        <v>14333</v>
      </c>
      <c r="I96" s="285">
        <f t="shared" si="68"/>
        <v>57</v>
      </c>
      <c r="J96" s="27">
        <f t="shared" si="69"/>
        <v>0</v>
      </c>
      <c r="K96" s="27">
        <f>I96</f>
        <v>57</v>
      </c>
      <c r="L96" s="300"/>
      <c r="M96" s="204"/>
      <c r="N96" s="204"/>
      <c r="O96" s="204">
        <f>K96</f>
        <v>57</v>
      </c>
      <c r="P96" s="204"/>
      <c r="Q96" s="204"/>
    </row>
    <row r="97" spans="1:22" s="22" customFormat="1" ht="47.25" x14ac:dyDescent="0.25">
      <c r="A97" s="24"/>
      <c r="B97" s="25" t="s">
        <v>718</v>
      </c>
      <c r="C97" s="88">
        <v>281</v>
      </c>
      <c r="D97" s="27"/>
      <c r="E97" s="27"/>
      <c r="F97" s="27">
        <v>30900</v>
      </c>
      <c r="G97" s="27">
        <f t="shared" si="59"/>
        <v>30900</v>
      </c>
      <c r="H97" s="27">
        <f>G97</f>
        <v>30900</v>
      </c>
      <c r="I97" s="27">
        <f t="shared" si="60"/>
        <v>0</v>
      </c>
      <c r="J97" s="27">
        <f t="shared" si="46"/>
        <v>0</v>
      </c>
      <c r="K97" s="27"/>
      <c r="L97" s="300"/>
      <c r="M97" s="204"/>
      <c r="N97" s="204"/>
      <c r="O97" s="204"/>
      <c r="P97" s="204"/>
      <c r="Q97" s="204"/>
      <c r="S97" s="30"/>
    </row>
    <row r="98" spans="1:22" ht="16.5" x14ac:dyDescent="0.25">
      <c r="A98" s="14">
        <v>5</v>
      </c>
      <c r="B98" s="15" t="s">
        <v>52</v>
      </c>
      <c r="C98" s="15"/>
      <c r="D98" s="16">
        <f t="shared" ref="D98:Q98" si="71">SUM(D99:D118)</f>
        <v>0</v>
      </c>
      <c r="E98" s="16">
        <f t="shared" si="71"/>
        <v>530000</v>
      </c>
      <c r="F98" s="16">
        <f t="shared" si="71"/>
        <v>430135.4</v>
      </c>
      <c r="G98" s="16">
        <f t="shared" si="71"/>
        <v>960135.4</v>
      </c>
      <c r="H98" s="16">
        <f t="shared" si="71"/>
        <v>531226.16</v>
      </c>
      <c r="I98" s="16">
        <f t="shared" si="71"/>
        <v>428909.24</v>
      </c>
      <c r="J98" s="16">
        <f t="shared" si="71"/>
        <v>328909.24</v>
      </c>
      <c r="K98" s="16">
        <f t="shared" si="71"/>
        <v>100000</v>
      </c>
      <c r="L98" s="299">
        <f t="shared" si="71"/>
        <v>0</v>
      </c>
      <c r="M98" s="16">
        <f t="shared" si="71"/>
        <v>100000</v>
      </c>
      <c r="N98" s="16">
        <f t="shared" si="71"/>
        <v>0</v>
      </c>
      <c r="O98" s="16">
        <f t="shared" si="71"/>
        <v>0</v>
      </c>
      <c r="P98" s="16">
        <f t="shared" si="71"/>
        <v>0</v>
      </c>
      <c r="Q98" s="16">
        <f t="shared" si="71"/>
        <v>0</v>
      </c>
      <c r="R98" s="319">
        <f>S98-H98</f>
        <v>53014.572999999975</v>
      </c>
      <c r="S98" s="131">
        <f>SUM(S99:S103)</f>
        <v>584240.73300000001</v>
      </c>
      <c r="T98" s="155">
        <f>G98-SUM(D98:F98)</f>
        <v>0</v>
      </c>
      <c r="U98" s="155">
        <f>G98-H98-I98</f>
        <v>0</v>
      </c>
      <c r="V98" s="155">
        <f>I98-J98-K98</f>
        <v>0</v>
      </c>
    </row>
    <row r="99" spans="1:22" s="2" customFormat="1" ht="63" x14ac:dyDescent="0.25">
      <c r="A99" s="24"/>
      <c r="B99" s="25" t="s">
        <v>53</v>
      </c>
      <c r="C99" s="88">
        <v>341</v>
      </c>
      <c r="D99" s="285"/>
      <c r="E99" s="285">
        <v>90000</v>
      </c>
      <c r="F99" s="285"/>
      <c r="G99" s="285">
        <f>SUM(D99:F99)</f>
        <v>90000</v>
      </c>
      <c r="H99" s="285"/>
      <c r="I99" s="285">
        <f>G99-H99</f>
        <v>90000</v>
      </c>
      <c r="J99" s="27">
        <f t="shared" si="46"/>
        <v>90000</v>
      </c>
      <c r="K99" s="27"/>
      <c r="L99" s="300"/>
      <c r="M99" s="204"/>
      <c r="N99" s="204"/>
      <c r="O99" s="204"/>
      <c r="P99" s="204"/>
      <c r="Q99" s="204"/>
      <c r="R99" s="142" t="s">
        <v>614</v>
      </c>
      <c r="S99" s="128">
        <v>16000</v>
      </c>
    </row>
    <row r="100" spans="1:22" s="2" customFormat="1" ht="31.5" x14ac:dyDescent="0.25">
      <c r="A100" s="24"/>
      <c r="B100" s="25" t="s">
        <v>54</v>
      </c>
      <c r="C100" s="88">
        <v>341</v>
      </c>
      <c r="D100" s="285"/>
      <c r="E100" s="285">
        <v>16000</v>
      </c>
      <c r="F100" s="285"/>
      <c r="G100" s="285">
        <f t="shared" ref="G100:G111" si="72">SUM(D100:F100)</f>
        <v>16000</v>
      </c>
      <c r="H100" s="285"/>
      <c r="I100" s="285">
        <f t="shared" ref="I100:I112" si="73">G100-H100</f>
        <v>16000</v>
      </c>
      <c r="J100" s="27">
        <f t="shared" si="46"/>
        <v>16000</v>
      </c>
      <c r="K100" s="27"/>
      <c r="L100" s="300"/>
      <c r="M100" s="204"/>
      <c r="N100" s="204"/>
      <c r="O100" s="204"/>
      <c r="P100" s="204"/>
      <c r="Q100" s="204"/>
      <c r="R100" s="2">
        <v>281</v>
      </c>
      <c r="S100" s="128">
        <v>92490.76</v>
      </c>
    </row>
    <row r="101" spans="1:22" s="2" customFormat="1" ht="31.5" x14ac:dyDescent="0.25">
      <c r="A101" s="24"/>
      <c r="B101" s="41" t="s">
        <v>55</v>
      </c>
      <c r="C101" s="88">
        <v>341</v>
      </c>
      <c r="D101" s="285"/>
      <c r="E101" s="285">
        <v>12000</v>
      </c>
      <c r="F101" s="285"/>
      <c r="G101" s="285">
        <f t="shared" si="72"/>
        <v>12000</v>
      </c>
      <c r="H101" s="285">
        <f>G101/4*3</f>
        <v>9000</v>
      </c>
      <c r="I101" s="285">
        <f t="shared" si="73"/>
        <v>3000</v>
      </c>
      <c r="J101" s="27">
        <f t="shared" si="46"/>
        <v>3000</v>
      </c>
      <c r="K101" s="27"/>
      <c r="L101" s="300"/>
      <c r="M101" s="204"/>
      <c r="N101" s="204"/>
      <c r="O101" s="204"/>
      <c r="P101" s="204"/>
      <c r="Q101" s="204"/>
      <c r="R101" s="2">
        <v>338</v>
      </c>
      <c r="S101" s="128">
        <v>12590</v>
      </c>
    </row>
    <row r="102" spans="1:22" s="2" customFormat="1" ht="36" customHeight="1" x14ac:dyDescent="0.25">
      <c r="A102" s="24"/>
      <c r="B102" s="41" t="s">
        <v>56</v>
      </c>
      <c r="C102" s="88">
        <v>341</v>
      </c>
      <c r="D102" s="285"/>
      <c r="E102" s="285">
        <v>7000</v>
      </c>
      <c r="F102" s="285"/>
      <c r="G102" s="285">
        <f t="shared" si="72"/>
        <v>7000</v>
      </c>
      <c r="H102" s="285">
        <f>G102</f>
        <v>7000</v>
      </c>
      <c r="I102" s="285">
        <f t="shared" si="73"/>
        <v>0</v>
      </c>
      <c r="J102" s="27">
        <f t="shared" si="46"/>
        <v>0</v>
      </c>
      <c r="K102" s="27"/>
      <c r="L102" s="300"/>
      <c r="M102" s="204"/>
      <c r="N102" s="204"/>
      <c r="O102" s="204"/>
      <c r="P102" s="204"/>
      <c r="Q102" s="204"/>
      <c r="R102" s="2">
        <v>341</v>
      </c>
      <c r="S102" s="128">
        <v>337659.973</v>
      </c>
    </row>
    <row r="103" spans="1:22" s="2" customFormat="1" ht="37.5" customHeight="1" x14ac:dyDescent="0.25">
      <c r="A103" s="24"/>
      <c r="B103" s="41" t="s">
        <v>57</v>
      </c>
      <c r="C103" s="88">
        <v>341</v>
      </c>
      <c r="D103" s="285"/>
      <c r="E103" s="285">
        <v>7000</v>
      </c>
      <c r="F103" s="285"/>
      <c r="G103" s="285">
        <f t="shared" si="72"/>
        <v>7000</v>
      </c>
      <c r="H103" s="285">
        <f>G103</f>
        <v>7000</v>
      </c>
      <c r="I103" s="285">
        <f t="shared" si="73"/>
        <v>0</v>
      </c>
      <c r="J103" s="27">
        <f t="shared" si="46"/>
        <v>0</v>
      </c>
      <c r="K103" s="27"/>
      <c r="L103" s="300"/>
      <c r="M103" s="204"/>
      <c r="N103" s="204"/>
      <c r="O103" s="204"/>
      <c r="P103" s="204"/>
      <c r="Q103" s="204"/>
      <c r="R103" s="2">
        <v>428</v>
      </c>
      <c r="S103" s="128">
        <v>125500</v>
      </c>
    </row>
    <row r="104" spans="1:22" s="22" customFormat="1" x14ac:dyDescent="0.25">
      <c r="A104" s="24"/>
      <c r="B104" s="32" t="s">
        <v>59</v>
      </c>
      <c r="C104" s="88">
        <v>341</v>
      </c>
      <c r="D104" s="285"/>
      <c r="E104" s="285">
        <v>92000</v>
      </c>
      <c r="F104" s="285">
        <v>-77081.600000000006</v>
      </c>
      <c r="G104" s="285">
        <f t="shared" si="72"/>
        <v>14918.399999999994</v>
      </c>
      <c r="H104" s="285">
        <f>G104</f>
        <v>14918.399999999994</v>
      </c>
      <c r="I104" s="285">
        <f t="shared" si="73"/>
        <v>0</v>
      </c>
      <c r="J104" s="27">
        <f t="shared" si="46"/>
        <v>0</v>
      </c>
      <c r="K104" s="27"/>
      <c r="L104" s="300"/>
      <c r="M104" s="204"/>
      <c r="N104" s="204"/>
      <c r="O104" s="204"/>
      <c r="P104" s="204"/>
      <c r="Q104" s="204"/>
      <c r="S104" s="30"/>
    </row>
    <row r="105" spans="1:22" s="22" customFormat="1" x14ac:dyDescent="0.25">
      <c r="A105" s="24"/>
      <c r="B105" s="32" t="s">
        <v>606</v>
      </c>
      <c r="C105" s="88">
        <v>341</v>
      </c>
      <c r="D105" s="285"/>
      <c r="E105" s="285"/>
      <c r="F105" s="285">
        <v>16000</v>
      </c>
      <c r="G105" s="285">
        <f t="shared" ref="G105" si="74">SUM(D105:F105)</f>
        <v>16000</v>
      </c>
      <c r="H105" s="285"/>
      <c r="I105" s="285">
        <f t="shared" ref="I105" si="75">G105-H105</f>
        <v>16000</v>
      </c>
      <c r="J105" s="27">
        <f t="shared" ref="J105" si="76">I105-K105</f>
        <v>16000</v>
      </c>
      <c r="K105" s="27"/>
      <c r="L105" s="300"/>
      <c r="M105" s="204"/>
      <c r="N105" s="204"/>
      <c r="O105" s="204"/>
      <c r="P105" s="204"/>
      <c r="Q105" s="204"/>
      <c r="S105" s="30"/>
    </row>
    <row r="106" spans="1:22" s="2" customFormat="1" ht="35.25" customHeight="1" x14ac:dyDescent="0.25">
      <c r="A106" s="24"/>
      <c r="B106" s="32" t="s">
        <v>58</v>
      </c>
      <c r="C106" s="88">
        <v>341</v>
      </c>
      <c r="D106" s="285"/>
      <c r="E106" s="285">
        <v>50000</v>
      </c>
      <c r="F106" s="285"/>
      <c r="G106" s="285">
        <f t="shared" si="72"/>
        <v>50000</v>
      </c>
      <c r="H106" s="285"/>
      <c r="I106" s="285">
        <f t="shared" si="73"/>
        <v>50000</v>
      </c>
      <c r="J106" s="27">
        <f t="shared" si="46"/>
        <v>50000</v>
      </c>
      <c r="K106" s="27"/>
      <c r="L106" s="300"/>
      <c r="M106" s="204"/>
      <c r="N106" s="204"/>
      <c r="O106" s="204"/>
      <c r="P106" s="204"/>
      <c r="Q106" s="204"/>
      <c r="R106" s="42"/>
      <c r="S106" s="128"/>
    </row>
    <row r="107" spans="1:22" s="2" customFormat="1" ht="20.25" customHeight="1" x14ac:dyDescent="0.25">
      <c r="A107" s="24"/>
      <c r="B107" s="32" t="s">
        <v>493</v>
      </c>
      <c r="C107" s="88">
        <v>341</v>
      </c>
      <c r="D107" s="285"/>
      <c r="E107" s="285">
        <v>16000</v>
      </c>
      <c r="F107" s="285"/>
      <c r="G107" s="285">
        <f t="shared" si="72"/>
        <v>16000</v>
      </c>
      <c r="H107" s="285"/>
      <c r="I107" s="285">
        <f t="shared" si="73"/>
        <v>16000</v>
      </c>
      <c r="J107" s="27">
        <f t="shared" si="46"/>
        <v>16000</v>
      </c>
      <c r="K107" s="27"/>
      <c r="L107" s="300"/>
      <c r="M107" s="204"/>
      <c r="N107" s="204"/>
      <c r="O107" s="204"/>
      <c r="P107" s="204"/>
      <c r="Q107" s="204"/>
      <c r="S107" s="128"/>
    </row>
    <row r="108" spans="1:22" s="22" customFormat="1" ht="33.75" customHeight="1" x14ac:dyDescent="0.25">
      <c r="A108" s="39"/>
      <c r="B108" s="41" t="s">
        <v>60</v>
      </c>
      <c r="C108" s="88">
        <v>341</v>
      </c>
      <c r="D108" s="285"/>
      <c r="E108" s="285">
        <v>55000</v>
      </c>
      <c r="F108" s="285"/>
      <c r="G108" s="285">
        <f t="shared" si="72"/>
        <v>55000</v>
      </c>
      <c r="H108" s="285"/>
      <c r="I108" s="285">
        <f t="shared" si="73"/>
        <v>55000</v>
      </c>
      <c r="J108" s="27">
        <f t="shared" si="46"/>
        <v>55000</v>
      </c>
      <c r="K108" s="27"/>
      <c r="L108" s="300"/>
      <c r="M108" s="204"/>
      <c r="N108" s="204"/>
      <c r="O108" s="204"/>
      <c r="P108" s="204"/>
      <c r="Q108" s="204"/>
      <c r="R108" s="30"/>
      <c r="S108" s="30"/>
    </row>
    <row r="109" spans="1:22" s="22" customFormat="1" ht="31.5" x14ac:dyDescent="0.25">
      <c r="A109" s="39"/>
      <c r="B109" s="32" t="s">
        <v>494</v>
      </c>
      <c r="C109" s="88">
        <v>341</v>
      </c>
      <c r="D109" s="285"/>
      <c r="E109" s="285">
        <v>100000</v>
      </c>
      <c r="F109" s="285"/>
      <c r="G109" s="285">
        <f t="shared" si="72"/>
        <v>100000</v>
      </c>
      <c r="H109" s="285"/>
      <c r="I109" s="285">
        <f t="shared" si="73"/>
        <v>100000</v>
      </c>
      <c r="J109" s="27">
        <f t="shared" si="46"/>
        <v>0</v>
      </c>
      <c r="K109" s="27">
        <f>I109</f>
        <v>100000</v>
      </c>
      <c r="L109" s="300"/>
      <c r="M109" s="204">
        <f>K109</f>
        <v>100000</v>
      </c>
      <c r="N109" s="204"/>
      <c r="O109" s="204"/>
      <c r="P109" s="204"/>
      <c r="Q109" s="204"/>
      <c r="R109" s="31"/>
      <c r="S109" s="30"/>
    </row>
    <row r="110" spans="1:22" s="22" customFormat="1" ht="19.5" customHeight="1" x14ac:dyDescent="0.25">
      <c r="A110" s="39"/>
      <c r="B110" s="25" t="s">
        <v>495</v>
      </c>
      <c r="C110" s="88">
        <v>341</v>
      </c>
      <c r="D110" s="285"/>
      <c r="E110" s="285">
        <f>15000*3</f>
        <v>45000</v>
      </c>
      <c r="F110" s="285"/>
      <c r="G110" s="285">
        <f t="shared" si="72"/>
        <v>45000</v>
      </c>
      <c r="H110" s="285">
        <f>G110</f>
        <v>45000</v>
      </c>
      <c r="I110" s="285">
        <f t="shared" si="73"/>
        <v>0</v>
      </c>
      <c r="J110" s="27">
        <f t="shared" si="46"/>
        <v>0</v>
      </c>
      <c r="K110" s="27"/>
      <c r="L110" s="300"/>
      <c r="M110" s="204"/>
      <c r="N110" s="204"/>
      <c r="O110" s="204"/>
      <c r="P110" s="204"/>
      <c r="Q110" s="204"/>
      <c r="R110" s="31"/>
      <c r="S110" s="30"/>
    </row>
    <row r="111" spans="1:22" s="22" customFormat="1" ht="35.25" customHeight="1" x14ac:dyDescent="0.25">
      <c r="A111" s="39"/>
      <c r="B111" s="25" t="s">
        <v>496</v>
      </c>
      <c r="C111" s="88">
        <v>341</v>
      </c>
      <c r="D111" s="285"/>
      <c r="E111" s="285">
        <v>20000</v>
      </c>
      <c r="F111" s="285"/>
      <c r="G111" s="285">
        <f t="shared" si="72"/>
        <v>20000</v>
      </c>
      <c r="H111" s="285">
        <f>G111</f>
        <v>20000</v>
      </c>
      <c r="I111" s="285">
        <f t="shared" si="73"/>
        <v>0</v>
      </c>
      <c r="J111" s="27">
        <f t="shared" si="46"/>
        <v>0</v>
      </c>
      <c r="K111" s="27"/>
      <c r="L111" s="300"/>
      <c r="M111" s="204"/>
      <c r="N111" s="204"/>
      <c r="O111" s="204"/>
      <c r="P111" s="204"/>
      <c r="Q111" s="204"/>
      <c r="R111" s="31"/>
      <c r="S111" s="30"/>
    </row>
    <row r="112" spans="1:22" s="22" customFormat="1" ht="18.75" customHeight="1" x14ac:dyDescent="0.25">
      <c r="A112" s="45"/>
      <c r="B112" s="25" t="s">
        <v>61</v>
      </c>
      <c r="C112" s="89">
        <v>341</v>
      </c>
      <c r="D112" s="27"/>
      <c r="E112" s="285">
        <v>20000</v>
      </c>
      <c r="F112" s="27"/>
      <c r="G112" s="27">
        <f t="shared" ref="G112:G118" si="77">SUM(D112:F112)</f>
        <v>20000</v>
      </c>
      <c r="H112" s="27">
        <f>G112</f>
        <v>20000</v>
      </c>
      <c r="I112" s="285">
        <f t="shared" si="73"/>
        <v>0</v>
      </c>
      <c r="J112" s="27">
        <f t="shared" si="46"/>
        <v>0</v>
      </c>
      <c r="K112" s="27"/>
      <c r="L112" s="300"/>
      <c r="M112" s="204"/>
      <c r="N112" s="204"/>
      <c r="O112" s="204"/>
      <c r="P112" s="204"/>
      <c r="Q112" s="204"/>
      <c r="S112" s="30"/>
    </row>
    <row r="113" spans="1:22" s="22" customFormat="1" x14ac:dyDescent="0.25">
      <c r="A113" s="45"/>
      <c r="B113" s="281" t="s">
        <v>600</v>
      </c>
      <c r="C113" s="89">
        <v>341</v>
      </c>
      <c r="D113" s="27"/>
      <c r="E113" s="285"/>
      <c r="F113" s="27">
        <v>161727</v>
      </c>
      <c r="G113" s="27">
        <f t="shared" si="77"/>
        <v>161727</v>
      </c>
      <c r="H113" s="27">
        <f>G113</f>
        <v>161727</v>
      </c>
      <c r="I113" s="285">
        <f t="shared" ref="I113" si="78">G113-H113</f>
        <v>0</v>
      </c>
      <c r="J113" s="27">
        <f t="shared" ref="J113" si="79">I113-K113</f>
        <v>0</v>
      </c>
      <c r="K113" s="27"/>
      <c r="L113" s="300"/>
      <c r="M113" s="204"/>
      <c r="N113" s="204"/>
      <c r="O113" s="204"/>
      <c r="P113" s="204"/>
      <c r="Q113" s="204"/>
      <c r="S113" s="30"/>
    </row>
    <row r="114" spans="1:22" s="22" customFormat="1" x14ac:dyDescent="0.25">
      <c r="A114" s="45"/>
      <c r="B114" s="25" t="s">
        <v>620</v>
      </c>
      <c r="C114" s="89" t="s">
        <v>614</v>
      </c>
      <c r="D114" s="27"/>
      <c r="E114" s="285"/>
      <c r="F114" s="27">
        <v>16000</v>
      </c>
      <c r="G114" s="27">
        <f t="shared" si="77"/>
        <v>16000</v>
      </c>
      <c r="H114" s="27">
        <f>G114</f>
        <v>16000</v>
      </c>
      <c r="I114" s="285">
        <f t="shared" ref="I114" si="80">G114-H114</f>
        <v>0</v>
      </c>
      <c r="J114" s="27">
        <f t="shared" ref="J114" si="81">I114-K114</f>
        <v>0</v>
      </c>
      <c r="K114" s="27"/>
      <c r="L114" s="300"/>
      <c r="M114" s="204"/>
      <c r="N114" s="204"/>
      <c r="O114" s="204"/>
      <c r="P114" s="204"/>
      <c r="Q114" s="204"/>
      <c r="S114" s="30"/>
    </row>
    <row r="115" spans="1:22" s="22" customFormat="1" ht="47.25" x14ac:dyDescent="0.25">
      <c r="A115" s="45"/>
      <c r="B115" s="25" t="s">
        <v>638</v>
      </c>
      <c r="C115" s="89">
        <v>281</v>
      </c>
      <c r="D115" s="27"/>
      <c r="E115" s="285"/>
      <c r="F115" s="27">
        <v>123200</v>
      </c>
      <c r="G115" s="27">
        <f t="shared" si="77"/>
        <v>123200</v>
      </c>
      <c r="H115" s="27">
        <v>92490.76</v>
      </c>
      <c r="I115" s="285">
        <f t="shared" ref="I115:I118" si="82">G115-H115</f>
        <v>30709.240000000005</v>
      </c>
      <c r="J115" s="27">
        <f t="shared" ref="J115:J118" si="83">I115-K115</f>
        <v>30709.240000000005</v>
      </c>
      <c r="K115" s="27"/>
      <c r="L115" s="300"/>
      <c r="M115" s="204"/>
      <c r="N115" s="204"/>
      <c r="O115" s="204"/>
      <c r="P115" s="204"/>
      <c r="Q115" s="204"/>
      <c r="S115" s="30"/>
    </row>
    <row r="116" spans="1:22" s="22" customFormat="1" ht="63" x14ac:dyDescent="0.25">
      <c r="A116" s="45"/>
      <c r="B116" s="25" t="s">
        <v>651</v>
      </c>
      <c r="C116" s="89">
        <v>338</v>
      </c>
      <c r="D116" s="27"/>
      <c r="E116" s="285"/>
      <c r="F116" s="27">
        <v>12590</v>
      </c>
      <c r="G116" s="27">
        <f t="shared" si="77"/>
        <v>12590</v>
      </c>
      <c r="H116" s="27">
        <f>G116</f>
        <v>12590</v>
      </c>
      <c r="I116" s="285">
        <f t="shared" si="82"/>
        <v>0</v>
      </c>
      <c r="J116" s="27">
        <f t="shared" si="83"/>
        <v>0</v>
      </c>
      <c r="K116" s="27"/>
      <c r="L116" s="300"/>
      <c r="M116" s="204"/>
      <c r="N116" s="204"/>
      <c r="O116" s="204"/>
      <c r="P116" s="204"/>
      <c r="Q116" s="204"/>
      <c r="S116" s="30"/>
    </row>
    <row r="117" spans="1:22" s="22" customFormat="1" ht="47.25" x14ac:dyDescent="0.25">
      <c r="A117" s="45"/>
      <c r="B117" s="25" t="s">
        <v>665</v>
      </c>
      <c r="C117" s="89">
        <v>428</v>
      </c>
      <c r="D117" s="27"/>
      <c r="E117" s="285"/>
      <c r="F117" s="27">
        <v>116000</v>
      </c>
      <c r="G117" s="27">
        <f t="shared" si="77"/>
        <v>116000</v>
      </c>
      <c r="H117" s="27">
        <f>125500-H118</f>
        <v>63800</v>
      </c>
      <c r="I117" s="285">
        <f t="shared" si="82"/>
        <v>52200</v>
      </c>
      <c r="J117" s="27">
        <f t="shared" si="83"/>
        <v>52200</v>
      </c>
      <c r="K117" s="27"/>
      <c r="L117" s="300"/>
      <c r="M117" s="204"/>
      <c r="N117" s="204"/>
      <c r="O117" s="204"/>
      <c r="P117" s="204"/>
      <c r="Q117" s="204"/>
      <c r="S117" s="30"/>
    </row>
    <row r="118" spans="1:22" s="22" customFormat="1" x14ac:dyDescent="0.25">
      <c r="A118" s="45"/>
      <c r="B118" s="25" t="s">
        <v>676</v>
      </c>
      <c r="C118" s="89">
        <v>428</v>
      </c>
      <c r="D118" s="27"/>
      <c r="E118" s="285"/>
      <c r="F118" s="27">
        <v>61700</v>
      </c>
      <c r="G118" s="27">
        <f t="shared" si="77"/>
        <v>61700</v>
      </c>
      <c r="H118" s="27">
        <f>G118</f>
        <v>61700</v>
      </c>
      <c r="I118" s="285">
        <f t="shared" si="82"/>
        <v>0</v>
      </c>
      <c r="J118" s="27">
        <f t="shared" si="83"/>
        <v>0</v>
      </c>
      <c r="K118" s="27"/>
      <c r="L118" s="300"/>
      <c r="M118" s="204"/>
      <c r="N118" s="204"/>
      <c r="O118" s="204"/>
      <c r="P118" s="204"/>
      <c r="Q118" s="204"/>
      <c r="S118" s="30"/>
    </row>
    <row r="119" spans="1:22" s="44" customFormat="1" ht="16.5" x14ac:dyDescent="0.25">
      <c r="A119" s="14">
        <v>6</v>
      </c>
      <c r="B119" s="15" t="s">
        <v>62</v>
      </c>
      <c r="C119" s="15"/>
      <c r="D119" s="16">
        <f t="shared" ref="D119:Q119" si="84">SUM(D120:D127)</f>
        <v>0</v>
      </c>
      <c r="E119" s="16">
        <f t="shared" si="84"/>
        <v>3433000</v>
      </c>
      <c r="F119" s="16">
        <f t="shared" si="84"/>
        <v>505250</v>
      </c>
      <c r="G119" s="318">
        <f t="shared" si="84"/>
        <v>3938250</v>
      </c>
      <c r="H119" s="318">
        <f t="shared" si="84"/>
        <v>2042327</v>
      </c>
      <c r="I119" s="318">
        <f t="shared" si="84"/>
        <v>1895923</v>
      </c>
      <c r="J119" s="318">
        <f t="shared" si="84"/>
        <v>1895923</v>
      </c>
      <c r="K119" s="318">
        <f t="shared" si="84"/>
        <v>0</v>
      </c>
      <c r="L119" s="299">
        <f t="shared" si="84"/>
        <v>0</v>
      </c>
      <c r="M119" s="16">
        <f t="shared" si="84"/>
        <v>0</v>
      </c>
      <c r="N119" s="16">
        <f t="shared" si="84"/>
        <v>0</v>
      </c>
      <c r="O119" s="16">
        <f t="shared" si="84"/>
        <v>0</v>
      </c>
      <c r="P119" s="16">
        <f t="shared" si="84"/>
        <v>0</v>
      </c>
      <c r="Q119" s="16">
        <f t="shared" si="84"/>
        <v>0</v>
      </c>
      <c r="R119" s="319">
        <f>S119-H119</f>
        <v>-30662.598999999929</v>
      </c>
      <c r="S119" s="131">
        <f>SUM(S120:S122)</f>
        <v>2011664.4010000001</v>
      </c>
      <c r="T119" s="155">
        <f>G119-SUM(D119:F119)</f>
        <v>0</v>
      </c>
      <c r="U119" s="155">
        <f>G119-H119-I119</f>
        <v>0</v>
      </c>
      <c r="V119" s="155">
        <f>I119-J119-K119</f>
        <v>0</v>
      </c>
    </row>
    <row r="120" spans="1:22" s="22" customFormat="1" x14ac:dyDescent="0.25">
      <c r="A120" s="45"/>
      <c r="B120" s="41" t="s">
        <v>497</v>
      </c>
      <c r="C120" s="89">
        <v>341</v>
      </c>
      <c r="D120" s="27"/>
      <c r="E120" s="27">
        <v>98000</v>
      </c>
      <c r="F120" s="27"/>
      <c r="G120" s="27">
        <f>SUM(D120:F120)</f>
        <v>98000</v>
      </c>
      <c r="H120" s="27">
        <f>G120</f>
        <v>98000</v>
      </c>
      <c r="I120" s="285">
        <f t="shared" ref="I120" si="85">G120-H120</f>
        <v>0</v>
      </c>
      <c r="J120" s="27">
        <f t="shared" si="46"/>
        <v>0</v>
      </c>
      <c r="K120" s="27"/>
      <c r="L120" s="300"/>
      <c r="M120" s="204"/>
      <c r="N120" s="204"/>
      <c r="O120" s="204"/>
      <c r="P120" s="204"/>
      <c r="Q120" s="204"/>
      <c r="R120" s="137" t="s">
        <v>614</v>
      </c>
      <c r="S120" s="30">
        <v>6000</v>
      </c>
    </row>
    <row r="121" spans="1:22" s="22" customFormat="1" x14ac:dyDescent="0.25">
      <c r="A121" s="45"/>
      <c r="B121" s="41" t="s">
        <v>498</v>
      </c>
      <c r="C121" s="89">
        <v>341</v>
      </c>
      <c r="D121" s="27"/>
      <c r="E121" s="27">
        <v>20000</v>
      </c>
      <c r="F121" s="27"/>
      <c r="G121" s="27">
        <f>SUM(D121:F121)</f>
        <v>20000</v>
      </c>
      <c r="H121" s="27"/>
      <c r="I121" s="285">
        <f t="shared" ref="I121:I122" si="86">G121-H121</f>
        <v>20000</v>
      </c>
      <c r="J121" s="27">
        <f t="shared" si="46"/>
        <v>20000</v>
      </c>
      <c r="K121" s="27"/>
      <c r="L121" s="300"/>
      <c r="M121" s="204"/>
      <c r="N121" s="204"/>
      <c r="O121" s="204"/>
      <c r="P121" s="204"/>
      <c r="Q121" s="204"/>
      <c r="R121" s="139" t="s">
        <v>176</v>
      </c>
      <c r="S121" s="30">
        <v>1780264.4010000001</v>
      </c>
    </row>
    <row r="122" spans="1:22" s="22" customFormat="1" ht="31.5" x14ac:dyDescent="0.25">
      <c r="A122" s="24"/>
      <c r="B122" s="41" t="s">
        <v>499</v>
      </c>
      <c r="C122" s="88">
        <v>341</v>
      </c>
      <c r="D122" s="284"/>
      <c r="E122" s="27">
        <v>15000</v>
      </c>
      <c r="F122" s="284"/>
      <c r="G122" s="284">
        <f t="shared" ref="G122" si="87">SUM(D122:F122)</f>
        <v>15000</v>
      </c>
      <c r="H122" s="284"/>
      <c r="I122" s="284">
        <f t="shared" si="86"/>
        <v>15000</v>
      </c>
      <c r="J122" s="27">
        <f t="shared" si="46"/>
        <v>15000</v>
      </c>
      <c r="K122" s="27"/>
      <c r="L122" s="300"/>
      <c r="M122" s="204"/>
      <c r="N122" s="204"/>
      <c r="O122" s="204"/>
      <c r="P122" s="204"/>
      <c r="Q122" s="204"/>
      <c r="R122" s="30">
        <v>341</v>
      </c>
      <c r="S122" s="30">
        <v>225400</v>
      </c>
    </row>
    <row r="123" spans="1:22" s="22" customFormat="1" ht="31.5" x14ac:dyDescent="0.25">
      <c r="A123" s="24"/>
      <c r="B123" s="25" t="s">
        <v>612</v>
      </c>
      <c r="C123" s="88" t="s">
        <v>176</v>
      </c>
      <c r="D123" s="284"/>
      <c r="E123" s="284">
        <v>3300000</v>
      </c>
      <c r="F123" s="284"/>
      <c r="G123" s="284">
        <f t="shared" ref="G123" si="88">SUM(D123:F123)</f>
        <v>3300000</v>
      </c>
      <c r="H123" s="284">
        <v>1439077</v>
      </c>
      <c r="I123" s="284">
        <f t="shared" ref="I123" si="89">G123-H123</f>
        <v>1860923</v>
      </c>
      <c r="J123" s="27">
        <f t="shared" si="46"/>
        <v>1860923</v>
      </c>
      <c r="K123" s="27"/>
      <c r="L123" s="300"/>
      <c r="M123" s="204"/>
      <c r="N123" s="204"/>
      <c r="O123" s="204"/>
      <c r="P123" s="204"/>
      <c r="Q123" s="204"/>
      <c r="R123" s="30"/>
      <c r="S123" s="30"/>
    </row>
    <row r="124" spans="1:22" s="22" customFormat="1" x14ac:dyDescent="0.25">
      <c r="A124" s="24"/>
      <c r="B124" s="25" t="s">
        <v>619</v>
      </c>
      <c r="C124" s="88" t="s">
        <v>614</v>
      </c>
      <c r="D124" s="284"/>
      <c r="E124" s="284"/>
      <c r="F124" s="284">
        <v>6000</v>
      </c>
      <c r="G124" s="284">
        <f t="shared" ref="G124" si="90">SUM(D124:F124)</f>
        <v>6000</v>
      </c>
      <c r="H124" s="284">
        <f>G124</f>
        <v>6000</v>
      </c>
      <c r="I124" s="284">
        <f t="shared" ref="I124" si="91">G124-H124</f>
        <v>0</v>
      </c>
      <c r="J124" s="27">
        <f t="shared" si="46"/>
        <v>0</v>
      </c>
      <c r="K124" s="27"/>
      <c r="L124" s="300"/>
      <c r="M124" s="204"/>
      <c r="N124" s="204"/>
      <c r="O124" s="204"/>
      <c r="P124" s="204"/>
      <c r="Q124" s="204"/>
      <c r="R124" s="30"/>
      <c r="S124" s="30"/>
    </row>
    <row r="125" spans="1:22" s="22" customFormat="1" ht="31.5" x14ac:dyDescent="0.25">
      <c r="A125" s="24"/>
      <c r="B125" s="25" t="s">
        <v>622</v>
      </c>
      <c r="C125" s="88" t="s">
        <v>176</v>
      </c>
      <c r="D125" s="284"/>
      <c r="E125" s="284"/>
      <c r="F125" s="284">
        <v>146550</v>
      </c>
      <c r="G125" s="284">
        <f t="shared" ref="G125" si="92">SUM(D125:F125)</f>
        <v>146550</v>
      </c>
      <c r="H125" s="284">
        <f>G125</f>
        <v>146550</v>
      </c>
      <c r="I125" s="284">
        <f t="shared" ref="I125" si="93">G125-H125</f>
        <v>0</v>
      </c>
      <c r="J125" s="27">
        <f t="shared" ref="J125" si="94">I125-K125</f>
        <v>0</v>
      </c>
      <c r="K125" s="27"/>
      <c r="L125" s="300"/>
      <c r="M125" s="204"/>
      <c r="N125" s="204"/>
      <c r="O125" s="204"/>
      <c r="P125" s="204"/>
      <c r="Q125" s="204"/>
      <c r="R125" s="30"/>
      <c r="S125" s="30"/>
    </row>
    <row r="126" spans="1:22" s="22" customFormat="1" ht="31.5" x14ac:dyDescent="0.25">
      <c r="A126" s="24"/>
      <c r="B126" s="25" t="s">
        <v>629</v>
      </c>
      <c r="C126" s="88" t="s">
        <v>176</v>
      </c>
      <c r="D126" s="284"/>
      <c r="E126" s="284"/>
      <c r="F126" s="284">
        <v>225300</v>
      </c>
      <c r="G126" s="284">
        <f t="shared" ref="G126:G127" si="95">SUM(D126:F126)</f>
        <v>225300</v>
      </c>
      <c r="H126" s="284">
        <f>G126</f>
        <v>225300</v>
      </c>
      <c r="I126" s="284">
        <f t="shared" ref="I126:I127" si="96">G126-H126</f>
        <v>0</v>
      </c>
      <c r="J126" s="27">
        <f t="shared" ref="J126:J127" si="97">I126-K126</f>
        <v>0</v>
      </c>
      <c r="K126" s="27"/>
      <c r="L126" s="300"/>
      <c r="M126" s="204"/>
      <c r="N126" s="204"/>
      <c r="O126" s="204"/>
      <c r="P126" s="204"/>
      <c r="Q126" s="204"/>
      <c r="R126" s="30"/>
      <c r="S126" s="30"/>
    </row>
    <row r="127" spans="1:22" s="22" customFormat="1" x14ac:dyDescent="0.25">
      <c r="A127" s="24"/>
      <c r="B127" s="25" t="s">
        <v>701</v>
      </c>
      <c r="C127" s="88">
        <v>341</v>
      </c>
      <c r="D127" s="284"/>
      <c r="E127" s="284"/>
      <c r="F127" s="284">
        <v>127400</v>
      </c>
      <c r="G127" s="284">
        <f t="shared" si="95"/>
        <v>127400</v>
      </c>
      <c r="H127" s="284">
        <f>G127</f>
        <v>127400</v>
      </c>
      <c r="I127" s="284">
        <f t="shared" si="96"/>
        <v>0</v>
      </c>
      <c r="J127" s="27">
        <f t="shared" si="97"/>
        <v>0</v>
      </c>
      <c r="K127" s="27"/>
      <c r="L127" s="300" t="s">
        <v>694</v>
      </c>
      <c r="M127" s="204"/>
      <c r="N127" s="204"/>
      <c r="O127" s="204"/>
      <c r="P127" s="204"/>
      <c r="Q127" s="204"/>
      <c r="R127" s="30"/>
      <c r="S127" s="30"/>
    </row>
    <row r="128" spans="1:22" ht="16.5" x14ac:dyDescent="0.25">
      <c r="A128" s="14">
        <v>7</v>
      </c>
      <c r="B128" s="15" t="s">
        <v>63</v>
      </c>
      <c r="C128" s="15"/>
      <c r="D128" s="16">
        <f t="shared" ref="D128:Q128" si="98">SUM(D129:D131)</f>
        <v>0</v>
      </c>
      <c r="E128" s="16">
        <f t="shared" si="98"/>
        <v>220000</v>
      </c>
      <c r="F128" s="16">
        <f t="shared" si="98"/>
        <v>168805</v>
      </c>
      <c r="G128" s="318">
        <f t="shared" si="98"/>
        <v>388805</v>
      </c>
      <c r="H128" s="318">
        <f t="shared" si="98"/>
        <v>224095</v>
      </c>
      <c r="I128" s="318">
        <f t="shared" si="98"/>
        <v>164710</v>
      </c>
      <c r="J128" s="318">
        <f t="shared" si="98"/>
        <v>164710</v>
      </c>
      <c r="K128" s="318">
        <f t="shared" si="98"/>
        <v>0</v>
      </c>
      <c r="L128" s="299">
        <f t="shared" si="98"/>
        <v>0</v>
      </c>
      <c r="M128" s="16">
        <f t="shared" si="98"/>
        <v>0</v>
      </c>
      <c r="N128" s="16">
        <f t="shared" si="98"/>
        <v>0</v>
      </c>
      <c r="O128" s="16">
        <f t="shared" si="98"/>
        <v>0</v>
      </c>
      <c r="P128" s="16">
        <f t="shared" si="98"/>
        <v>0</v>
      </c>
      <c r="Q128" s="16">
        <f t="shared" si="98"/>
        <v>0</v>
      </c>
      <c r="R128" s="319">
        <f>S128-H128</f>
        <v>0.39999999999417923</v>
      </c>
      <c r="S128" s="131">
        <f>SUM(S129:S130)</f>
        <v>224095.4</v>
      </c>
      <c r="T128" s="155">
        <f>G128-SUM(D128:F128)</f>
        <v>0</v>
      </c>
      <c r="U128" s="155">
        <f>G128-H128-I128</f>
        <v>0</v>
      </c>
      <c r="V128" s="155">
        <f>I128-J128-K128</f>
        <v>0</v>
      </c>
    </row>
    <row r="129" spans="1:22" s="22" customFormat="1" ht="31.5" x14ac:dyDescent="0.25">
      <c r="A129" s="24"/>
      <c r="B129" s="33" t="s">
        <v>500</v>
      </c>
      <c r="C129" s="88">
        <v>341</v>
      </c>
      <c r="D129" s="285"/>
      <c r="E129" s="285">
        <v>150000</v>
      </c>
      <c r="F129" s="285"/>
      <c r="G129" s="27">
        <f>SUM(D129:F129)</f>
        <v>150000</v>
      </c>
      <c r="H129" s="27">
        <v>55290</v>
      </c>
      <c r="I129" s="285">
        <f t="shared" ref="I129" si="99">G129-H129</f>
        <v>94710</v>
      </c>
      <c r="J129" s="27">
        <f t="shared" si="46"/>
        <v>94710</v>
      </c>
      <c r="K129" s="27"/>
      <c r="L129" s="300"/>
      <c r="M129" s="204"/>
      <c r="N129" s="204"/>
      <c r="O129" s="204"/>
      <c r="P129" s="204"/>
      <c r="Q129" s="204"/>
      <c r="R129" s="22">
        <v>341</v>
      </c>
      <c r="S129" s="30">
        <v>224095.4</v>
      </c>
    </row>
    <row r="130" spans="1:22" s="22" customFormat="1" ht="31.5" x14ac:dyDescent="0.25">
      <c r="A130" s="24"/>
      <c r="B130" s="33" t="s">
        <v>64</v>
      </c>
      <c r="C130" s="88">
        <v>341</v>
      </c>
      <c r="D130" s="285"/>
      <c r="E130" s="285">
        <v>70000</v>
      </c>
      <c r="F130" s="285"/>
      <c r="G130" s="27">
        <f t="shared" ref="G130:G131" si="100">SUM(D130:F130)</f>
        <v>70000</v>
      </c>
      <c r="H130" s="27"/>
      <c r="I130" s="285">
        <f t="shared" ref="I130:I131" si="101">G130-H130</f>
        <v>70000</v>
      </c>
      <c r="J130" s="27">
        <f t="shared" si="46"/>
        <v>70000</v>
      </c>
      <c r="K130" s="27"/>
      <c r="L130" s="300"/>
      <c r="M130" s="204"/>
      <c r="N130" s="204"/>
      <c r="O130" s="204"/>
      <c r="P130" s="204"/>
      <c r="Q130" s="204"/>
      <c r="S130" s="30"/>
    </row>
    <row r="131" spans="1:22" s="22" customFormat="1" x14ac:dyDescent="0.25">
      <c r="A131" s="24"/>
      <c r="B131" s="281" t="s">
        <v>602</v>
      </c>
      <c r="C131" s="88">
        <v>341</v>
      </c>
      <c r="D131" s="285"/>
      <c r="E131" s="285"/>
      <c r="F131" s="285">
        <v>168805</v>
      </c>
      <c r="G131" s="27">
        <f t="shared" si="100"/>
        <v>168805</v>
      </c>
      <c r="H131" s="27">
        <f>G131</f>
        <v>168805</v>
      </c>
      <c r="I131" s="285">
        <f t="shared" si="101"/>
        <v>0</v>
      </c>
      <c r="J131" s="27">
        <f t="shared" si="46"/>
        <v>0</v>
      </c>
      <c r="K131" s="27"/>
      <c r="L131" s="300"/>
      <c r="M131" s="204"/>
      <c r="N131" s="204"/>
      <c r="O131" s="204"/>
      <c r="P131" s="204"/>
      <c r="Q131" s="204"/>
      <c r="S131" s="30"/>
    </row>
    <row r="132" spans="1:22" ht="16.5" x14ac:dyDescent="0.25">
      <c r="A132" s="14">
        <v>8</v>
      </c>
      <c r="B132" s="15" t="s">
        <v>65</v>
      </c>
      <c r="C132" s="15"/>
      <c r="D132" s="16">
        <f t="shared" ref="D132:Q132" si="102">SUM(D133:D146)</f>
        <v>0</v>
      </c>
      <c r="E132" s="16">
        <f t="shared" si="102"/>
        <v>265000</v>
      </c>
      <c r="F132" s="16">
        <f t="shared" si="102"/>
        <v>6582506</v>
      </c>
      <c r="G132" s="318">
        <f t="shared" si="102"/>
        <v>6847506</v>
      </c>
      <c r="H132" s="318">
        <f t="shared" si="102"/>
        <v>5454626</v>
      </c>
      <c r="I132" s="318">
        <f t="shared" si="102"/>
        <v>1392880</v>
      </c>
      <c r="J132" s="318">
        <f t="shared" si="102"/>
        <v>1392880</v>
      </c>
      <c r="K132" s="318">
        <f t="shared" si="102"/>
        <v>0</v>
      </c>
      <c r="L132" s="299">
        <f t="shared" si="102"/>
        <v>0</v>
      </c>
      <c r="M132" s="16">
        <f t="shared" si="102"/>
        <v>0</v>
      </c>
      <c r="N132" s="16">
        <f t="shared" si="102"/>
        <v>0</v>
      </c>
      <c r="O132" s="16">
        <f t="shared" si="102"/>
        <v>0</v>
      </c>
      <c r="P132" s="16">
        <f t="shared" si="102"/>
        <v>0</v>
      </c>
      <c r="Q132" s="16">
        <f t="shared" si="102"/>
        <v>0</v>
      </c>
      <c r="R132" s="319">
        <f>S132-H132</f>
        <v>-53242.675000000745</v>
      </c>
      <c r="S132" s="131">
        <f>SUM(S133:S138)</f>
        <v>5401383.3249999993</v>
      </c>
      <c r="T132" s="155">
        <f>G132-SUM(D132:F132)</f>
        <v>0</v>
      </c>
      <c r="U132" s="155">
        <f>G132-H132-I132</f>
        <v>0</v>
      </c>
      <c r="V132" s="155">
        <f>I132-J132-K132</f>
        <v>0</v>
      </c>
    </row>
    <row r="133" spans="1:22" s="2" customFormat="1" x14ac:dyDescent="0.25">
      <c r="A133" s="45"/>
      <c r="B133" s="41" t="s">
        <v>501</v>
      </c>
      <c r="C133" s="88">
        <v>341</v>
      </c>
      <c r="D133" s="27"/>
      <c r="E133" s="27">
        <v>30000</v>
      </c>
      <c r="F133" s="27"/>
      <c r="G133" s="27">
        <f>SUM(D133:F133)</f>
        <v>30000</v>
      </c>
      <c r="H133" s="27"/>
      <c r="I133" s="27">
        <f>G133-H133</f>
        <v>30000</v>
      </c>
      <c r="J133" s="27">
        <f t="shared" si="46"/>
        <v>30000</v>
      </c>
      <c r="K133" s="27"/>
      <c r="L133" s="300"/>
      <c r="M133" s="204"/>
      <c r="N133" s="204"/>
      <c r="O133" s="204"/>
      <c r="P133" s="204"/>
      <c r="Q133" s="204"/>
      <c r="R133" s="138" t="s">
        <v>614</v>
      </c>
      <c r="S133" s="128">
        <v>25000</v>
      </c>
    </row>
    <row r="134" spans="1:22" s="2" customFormat="1" x14ac:dyDescent="0.25">
      <c r="A134" s="45"/>
      <c r="B134" s="41" t="s">
        <v>148</v>
      </c>
      <c r="C134" s="88">
        <v>341</v>
      </c>
      <c r="D134" s="27"/>
      <c r="E134" s="27">
        <v>10000</v>
      </c>
      <c r="F134" s="27"/>
      <c r="G134" s="27">
        <f t="shared" ref="G134:G135" si="103">SUM(D134:F134)</f>
        <v>10000</v>
      </c>
      <c r="H134" s="27"/>
      <c r="I134" s="27">
        <f t="shared" ref="I134:I137" si="104">G134-H134</f>
        <v>10000</v>
      </c>
      <c r="J134" s="27">
        <f t="shared" si="46"/>
        <v>10000</v>
      </c>
      <c r="K134" s="27"/>
      <c r="L134" s="300"/>
      <c r="M134" s="204"/>
      <c r="N134" s="204"/>
      <c r="O134" s="204"/>
      <c r="P134" s="204"/>
      <c r="Q134" s="204"/>
      <c r="R134" s="314" t="s">
        <v>176</v>
      </c>
      <c r="S134" s="128">
        <v>329115.5</v>
      </c>
    </row>
    <row r="135" spans="1:22" s="2" customFormat="1" x14ac:dyDescent="0.25">
      <c r="A135" s="45"/>
      <c r="B135" s="41" t="s">
        <v>502</v>
      </c>
      <c r="C135" s="88">
        <v>341</v>
      </c>
      <c r="D135" s="27"/>
      <c r="E135" s="27">
        <v>10000</v>
      </c>
      <c r="F135" s="27"/>
      <c r="G135" s="27">
        <f t="shared" si="103"/>
        <v>10000</v>
      </c>
      <c r="H135" s="27"/>
      <c r="I135" s="27">
        <f t="shared" si="104"/>
        <v>10000</v>
      </c>
      <c r="J135" s="27">
        <f t="shared" si="46"/>
        <v>10000</v>
      </c>
      <c r="K135" s="27"/>
      <c r="L135" s="300"/>
      <c r="M135" s="204"/>
      <c r="N135" s="204"/>
      <c r="O135" s="204"/>
      <c r="P135" s="204"/>
      <c r="Q135" s="204"/>
      <c r="R135" s="6">
        <v>341</v>
      </c>
      <c r="S135" s="128">
        <v>46700</v>
      </c>
    </row>
    <row r="136" spans="1:22" s="22" customFormat="1" x14ac:dyDescent="0.25">
      <c r="A136" s="45"/>
      <c r="B136" s="41" t="s">
        <v>503</v>
      </c>
      <c r="C136" s="89">
        <v>341</v>
      </c>
      <c r="D136" s="27"/>
      <c r="E136" s="27">
        <v>75000</v>
      </c>
      <c r="F136" s="27"/>
      <c r="G136" s="27">
        <f t="shared" ref="G136:G137" si="105">SUM(D136:F136)</f>
        <v>75000</v>
      </c>
      <c r="H136" s="27"/>
      <c r="I136" s="285">
        <f t="shared" si="104"/>
        <v>75000</v>
      </c>
      <c r="J136" s="27">
        <f t="shared" si="46"/>
        <v>75000</v>
      </c>
      <c r="K136" s="27"/>
      <c r="L136" s="300"/>
      <c r="M136" s="204"/>
      <c r="N136" s="204"/>
      <c r="O136" s="204"/>
      <c r="P136" s="204"/>
      <c r="Q136" s="204"/>
      <c r="R136" s="22">
        <v>371</v>
      </c>
      <c r="S136" s="30">
        <v>3487284.7250000001</v>
      </c>
    </row>
    <row r="137" spans="1:22" s="22" customFormat="1" x14ac:dyDescent="0.25">
      <c r="A137" s="45"/>
      <c r="B137" s="41" t="s">
        <v>504</v>
      </c>
      <c r="C137" s="89">
        <v>341</v>
      </c>
      <c r="D137" s="27"/>
      <c r="E137" s="27">
        <v>140000</v>
      </c>
      <c r="F137" s="27"/>
      <c r="G137" s="27">
        <f t="shared" si="105"/>
        <v>140000</v>
      </c>
      <c r="H137" s="27">
        <v>12000</v>
      </c>
      <c r="I137" s="285">
        <f t="shared" si="104"/>
        <v>128000</v>
      </c>
      <c r="J137" s="27">
        <f t="shared" si="46"/>
        <v>128000</v>
      </c>
      <c r="K137" s="27"/>
      <c r="L137" s="300"/>
      <c r="M137" s="204"/>
      <c r="N137" s="204"/>
      <c r="O137" s="204"/>
      <c r="P137" s="204"/>
      <c r="Q137" s="204"/>
      <c r="R137" s="22">
        <v>371</v>
      </c>
      <c r="S137" s="30">
        <v>857750</v>
      </c>
    </row>
    <row r="138" spans="1:22" s="22" customFormat="1" x14ac:dyDescent="0.25">
      <c r="A138" s="45"/>
      <c r="B138" s="41" t="s">
        <v>609</v>
      </c>
      <c r="C138" s="89">
        <v>341</v>
      </c>
      <c r="D138" s="27"/>
      <c r="E138" s="27"/>
      <c r="F138" s="27">
        <v>27000</v>
      </c>
      <c r="G138" s="27">
        <f t="shared" ref="G138" si="106">SUM(D138:F138)</f>
        <v>27000</v>
      </c>
      <c r="H138" s="27">
        <v>8100</v>
      </c>
      <c r="I138" s="285">
        <f t="shared" ref="I138" si="107">G138-H138</f>
        <v>18900</v>
      </c>
      <c r="J138" s="27">
        <f t="shared" ref="J138" si="108">I138-K138</f>
        <v>18900</v>
      </c>
      <c r="K138" s="27"/>
      <c r="L138" s="300"/>
      <c r="M138" s="204"/>
      <c r="N138" s="204"/>
      <c r="O138" s="204"/>
      <c r="P138" s="204"/>
      <c r="Q138" s="204"/>
      <c r="R138" s="22">
        <v>398</v>
      </c>
      <c r="S138" s="30">
        <v>655533.1</v>
      </c>
    </row>
    <row r="139" spans="1:22" s="22" customFormat="1" x14ac:dyDescent="0.25">
      <c r="A139" s="45"/>
      <c r="B139" s="25" t="s">
        <v>619</v>
      </c>
      <c r="C139" s="89" t="s">
        <v>614</v>
      </c>
      <c r="D139" s="27"/>
      <c r="E139" s="27"/>
      <c r="F139" s="27">
        <v>25000</v>
      </c>
      <c r="G139" s="27">
        <f>SUM(D139:F139)</f>
        <v>25000</v>
      </c>
      <c r="H139" s="27">
        <f>G139</f>
        <v>25000</v>
      </c>
      <c r="I139" s="285">
        <f>G139-H139</f>
        <v>0</v>
      </c>
      <c r="J139" s="27">
        <f>I139-K139</f>
        <v>0</v>
      </c>
      <c r="K139" s="27"/>
      <c r="L139" s="300"/>
      <c r="M139" s="204"/>
      <c r="N139" s="204"/>
      <c r="O139" s="204"/>
      <c r="P139" s="204"/>
      <c r="Q139" s="204"/>
      <c r="S139" s="30"/>
    </row>
    <row r="140" spans="1:22" s="22" customFormat="1" ht="31.5" x14ac:dyDescent="0.25">
      <c r="A140" s="45"/>
      <c r="B140" s="25" t="s">
        <v>630</v>
      </c>
      <c r="C140" s="89" t="s">
        <v>176</v>
      </c>
      <c r="D140" s="27"/>
      <c r="E140" s="27"/>
      <c r="F140" s="27">
        <v>246991</v>
      </c>
      <c r="G140" s="27">
        <f>SUM(D140:F140)</f>
        <v>246991</v>
      </c>
      <c r="H140" s="27">
        <f>G140</f>
        <v>246991</v>
      </c>
      <c r="I140" s="285">
        <f>G140-H140</f>
        <v>0</v>
      </c>
      <c r="J140" s="27">
        <f>I140-K140</f>
        <v>0</v>
      </c>
      <c r="K140" s="27"/>
      <c r="L140" s="300"/>
      <c r="M140" s="204"/>
      <c r="N140" s="204"/>
      <c r="O140" s="204"/>
      <c r="P140" s="204"/>
      <c r="Q140" s="204"/>
      <c r="S140" s="30"/>
    </row>
    <row r="141" spans="1:22" s="22" customFormat="1" ht="47.25" x14ac:dyDescent="0.25">
      <c r="A141" s="45"/>
      <c r="B141" s="25" t="s">
        <v>684</v>
      </c>
      <c r="C141" s="89">
        <v>371</v>
      </c>
      <c r="D141" s="27"/>
      <c r="E141" s="27"/>
      <c r="F141" s="27">
        <v>857750</v>
      </c>
      <c r="G141" s="27">
        <f>SUM(D141:F141)</f>
        <v>857750</v>
      </c>
      <c r="H141" s="27">
        <f>G141</f>
        <v>857750</v>
      </c>
      <c r="I141" s="285">
        <f>G141-H141</f>
        <v>0</v>
      </c>
      <c r="J141" s="27">
        <f>I141-K141</f>
        <v>0</v>
      </c>
      <c r="K141" s="27"/>
      <c r="L141" s="300" t="s">
        <v>708</v>
      </c>
      <c r="M141" s="204"/>
      <c r="N141" s="204"/>
      <c r="O141" s="204"/>
      <c r="P141" s="204"/>
      <c r="Q141" s="204"/>
      <c r="S141" s="30"/>
    </row>
    <row r="142" spans="1:22" s="22" customFormat="1" ht="31.5" x14ac:dyDescent="0.25">
      <c r="A142" s="45"/>
      <c r="B142" s="25" t="s">
        <v>724</v>
      </c>
      <c r="C142" s="89">
        <v>398</v>
      </c>
      <c r="D142" s="27"/>
      <c r="E142" s="27"/>
      <c r="F142" s="27">
        <v>948780</v>
      </c>
      <c r="G142" s="27">
        <f>SUM(D142:F142)</f>
        <v>948780</v>
      </c>
      <c r="H142" s="27">
        <v>325000</v>
      </c>
      <c r="I142" s="285">
        <f>G142-H142</f>
        <v>623780</v>
      </c>
      <c r="J142" s="27">
        <f>I142-K142</f>
        <v>623780</v>
      </c>
      <c r="K142" s="27"/>
      <c r="L142" s="300" t="s">
        <v>708</v>
      </c>
      <c r="M142" s="204"/>
      <c r="N142" s="204"/>
      <c r="O142" s="204"/>
      <c r="P142" s="204"/>
      <c r="Q142" s="204"/>
      <c r="S142" s="30"/>
    </row>
    <row r="143" spans="1:22" s="22" customFormat="1" x14ac:dyDescent="0.25">
      <c r="A143" s="45"/>
      <c r="B143" s="41" t="s">
        <v>297</v>
      </c>
      <c r="C143" s="89">
        <v>371</v>
      </c>
      <c r="D143" s="27"/>
      <c r="E143" s="27"/>
      <c r="F143" s="27">
        <f>2289840+338000</f>
        <v>2627840</v>
      </c>
      <c r="G143" s="27">
        <f t="shared" ref="G143:G146" si="109">SUM(D143:F143)</f>
        <v>2627840</v>
      </c>
      <c r="H143" s="27">
        <v>2597140</v>
      </c>
      <c r="I143" s="285">
        <f t="shared" ref="I143" si="110">G143-H143</f>
        <v>30700</v>
      </c>
      <c r="J143" s="27">
        <f t="shared" ref="J143:J146" si="111">I143-K143</f>
        <v>30700</v>
      </c>
      <c r="K143" s="27"/>
      <c r="L143" s="300"/>
      <c r="M143" s="204"/>
      <c r="N143" s="204"/>
      <c r="O143" s="204"/>
      <c r="P143" s="204"/>
      <c r="Q143" s="204"/>
      <c r="R143" s="54"/>
      <c r="S143" s="30"/>
    </row>
    <row r="144" spans="1:22" s="22" customFormat="1" x14ac:dyDescent="0.25">
      <c r="A144" s="45"/>
      <c r="B144" s="41" t="s">
        <v>297</v>
      </c>
      <c r="C144" s="89">
        <v>398</v>
      </c>
      <c r="D144" s="27"/>
      <c r="E144" s="27"/>
      <c r="F144" s="27">
        <f>916560-77600</f>
        <v>838960</v>
      </c>
      <c r="G144" s="27">
        <f t="shared" ref="G144" si="112">SUM(D144:F144)</f>
        <v>838960</v>
      </c>
      <c r="H144" s="27">
        <v>372460</v>
      </c>
      <c r="I144" s="285">
        <f t="shared" ref="I144" si="113">G144-H144</f>
        <v>466500</v>
      </c>
      <c r="J144" s="27">
        <f t="shared" ref="J144" si="114">I144-K144</f>
        <v>466500</v>
      </c>
      <c r="K144" s="27"/>
      <c r="L144" s="300"/>
      <c r="M144" s="204"/>
      <c r="N144" s="204"/>
      <c r="O144" s="204"/>
      <c r="P144" s="204"/>
      <c r="Q144" s="204"/>
      <c r="R144" s="54"/>
      <c r="S144" s="30"/>
    </row>
    <row r="145" spans="1:22" s="22" customFormat="1" ht="31.5" x14ac:dyDescent="0.25">
      <c r="A145" s="45"/>
      <c r="B145" s="41" t="s">
        <v>685</v>
      </c>
      <c r="C145" s="89">
        <v>371</v>
      </c>
      <c r="D145" s="27"/>
      <c r="E145" s="27"/>
      <c r="F145" s="27">
        <v>875700</v>
      </c>
      <c r="G145" s="27">
        <f t="shared" ref="G145" si="115">SUM(D145:F145)</f>
        <v>875700</v>
      </c>
      <c r="H145" s="27">
        <f>G145</f>
        <v>875700</v>
      </c>
      <c r="I145" s="285">
        <f t="shared" ref="I145" si="116">G145-H145</f>
        <v>0</v>
      </c>
      <c r="J145" s="27">
        <f t="shared" ref="J145" si="117">I145-K145</f>
        <v>0</v>
      </c>
      <c r="K145" s="27"/>
      <c r="L145" s="300" t="s">
        <v>692</v>
      </c>
      <c r="M145" s="204"/>
      <c r="N145" s="204"/>
      <c r="O145" s="204"/>
      <c r="P145" s="204"/>
      <c r="Q145" s="204"/>
      <c r="R145" s="54"/>
      <c r="S145" s="30"/>
    </row>
    <row r="146" spans="1:22" s="22" customFormat="1" ht="31.5" x14ac:dyDescent="0.25">
      <c r="A146" s="45"/>
      <c r="B146" s="41" t="s">
        <v>624</v>
      </c>
      <c r="C146" s="89" t="s">
        <v>176</v>
      </c>
      <c r="D146" s="27"/>
      <c r="E146" s="27"/>
      <c r="F146" s="27">
        <v>134485</v>
      </c>
      <c r="G146" s="27">
        <f t="shared" si="109"/>
        <v>134485</v>
      </c>
      <c r="H146" s="27">
        <f>G146</f>
        <v>134485</v>
      </c>
      <c r="I146" s="285">
        <f t="shared" ref="I146" si="118">G146-H146</f>
        <v>0</v>
      </c>
      <c r="J146" s="27">
        <f t="shared" si="111"/>
        <v>0</v>
      </c>
      <c r="K146" s="27"/>
      <c r="L146" s="300"/>
      <c r="M146" s="204"/>
      <c r="N146" s="204"/>
      <c r="O146" s="204"/>
      <c r="P146" s="204"/>
      <c r="Q146" s="204"/>
      <c r="S146" s="30"/>
    </row>
    <row r="147" spans="1:22" ht="16.5" x14ac:dyDescent="0.25">
      <c r="A147" s="14">
        <v>9</v>
      </c>
      <c r="B147" s="15" t="s">
        <v>66</v>
      </c>
      <c r="C147" s="15"/>
      <c r="D147" s="16">
        <f t="shared" ref="D147:Q147" si="119">SUM(D148:D163)</f>
        <v>0</v>
      </c>
      <c r="E147" s="16">
        <f t="shared" si="119"/>
        <v>2233600</v>
      </c>
      <c r="F147" s="16">
        <f t="shared" si="119"/>
        <v>89000</v>
      </c>
      <c r="G147" s="318">
        <f t="shared" si="119"/>
        <v>2322600</v>
      </c>
      <c r="H147" s="318">
        <f t="shared" si="119"/>
        <v>497568.56</v>
      </c>
      <c r="I147" s="318">
        <f t="shared" si="119"/>
        <v>1825031.44</v>
      </c>
      <c r="J147" s="318">
        <f t="shared" si="119"/>
        <v>1825031.44</v>
      </c>
      <c r="K147" s="318">
        <f t="shared" si="119"/>
        <v>0</v>
      </c>
      <c r="L147" s="299">
        <f t="shared" si="119"/>
        <v>0</v>
      </c>
      <c r="M147" s="16">
        <f t="shared" si="119"/>
        <v>0</v>
      </c>
      <c r="N147" s="16">
        <f t="shared" si="119"/>
        <v>0</v>
      </c>
      <c r="O147" s="16">
        <f t="shared" si="119"/>
        <v>0</v>
      </c>
      <c r="P147" s="16">
        <f t="shared" si="119"/>
        <v>0</v>
      </c>
      <c r="Q147" s="16">
        <f t="shared" si="119"/>
        <v>0</v>
      </c>
      <c r="R147" s="319">
        <f>S147-H147</f>
        <v>887680.35400000005</v>
      </c>
      <c r="S147" s="131">
        <f>SUM(S148:S151)</f>
        <v>1385248.9140000001</v>
      </c>
      <c r="T147" s="155">
        <f>G147-SUM(D147:F147)</f>
        <v>0</v>
      </c>
      <c r="U147" s="155">
        <f>G147-H147-I147</f>
        <v>0</v>
      </c>
      <c r="V147" s="155">
        <f>I147-J147-K147</f>
        <v>0</v>
      </c>
    </row>
    <row r="148" spans="1:22" s="22" customFormat="1" x14ac:dyDescent="0.25">
      <c r="A148" s="24"/>
      <c r="B148" s="25" t="s">
        <v>67</v>
      </c>
      <c r="C148" s="88">
        <v>341</v>
      </c>
      <c r="D148" s="27"/>
      <c r="E148" s="27">
        <v>140000</v>
      </c>
      <c r="F148" s="27"/>
      <c r="G148" s="27">
        <f t="shared" ref="G148" si="120">SUM(D148:F148)</f>
        <v>140000</v>
      </c>
      <c r="H148" s="27">
        <v>128268</v>
      </c>
      <c r="I148" s="27">
        <f t="shared" ref="I148" si="121">G148-H148</f>
        <v>11732</v>
      </c>
      <c r="J148" s="27">
        <f t="shared" ref="J148:J198" si="122">I148-K148</f>
        <v>11732</v>
      </c>
      <c r="K148" s="27"/>
      <c r="L148" s="300"/>
      <c r="M148" s="204"/>
      <c r="N148" s="204"/>
      <c r="O148" s="204"/>
      <c r="P148" s="204"/>
      <c r="Q148" s="204"/>
      <c r="R148" s="139" t="s">
        <v>614</v>
      </c>
      <c r="S148" s="30">
        <v>26000</v>
      </c>
    </row>
    <row r="149" spans="1:22" s="22" customFormat="1" ht="31.5" x14ac:dyDescent="0.25">
      <c r="A149" s="24"/>
      <c r="B149" s="266" t="s">
        <v>505</v>
      </c>
      <c r="C149" s="88">
        <v>341</v>
      </c>
      <c r="D149" s="27"/>
      <c r="E149" s="27">
        <f>ROUND(140000+140000*15%,-4)+40000</f>
        <v>200000</v>
      </c>
      <c r="F149" s="27"/>
      <c r="G149" s="27">
        <f t="shared" ref="G149:G157" si="123">SUM(D149:F149)</f>
        <v>200000</v>
      </c>
      <c r="H149" s="27">
        <v>56215</v>
      </c>
      <c r="I149" s="27">
        <f t="shared" ref="I149:I157" si="124">G149-H149</f>
        <v>143785</v>
      </c>
      <c r="J149" s="27">
        <f t="shared" si="122"/>
        <v>143785</v>
      </c>
      <c r="K149" s="27"/>
      <c r="L149" s="300"/>
      <c r="M149" s="204"/>
      <c r="N149" s="204"/>
      <c r="O149" s="204"/>
      <c r="P149" s="204"/>
      <c r="Q149" s="204"/>
      <c r="R149" s="22">
        <v>281</v>
      </c>
      <c r="S149" s="30">
        <v>63000</v>
      </c>
    </row>
    <row r="150" spans="1:22" s="22" customFormat="1" ht="47.25" x14ac:dyDescent="0.25">
      <c r="A150" s="24"/>
      <c r="B150" s="266" t="s">
        <v>506</v>
      </c>
      <c r="C150" s="88">
        <v>341</v>
      </c>
      <c r="D150" s="27"/>
      <c r="E150" s="27">
        <v>289600</v>
      </c>
      <c r="F150" s="27"/>
      <c r="G150" s="27">
        <f t="shared" si="123"/>
        <v>289600</v>
      </c>
      <c r="H150" s="27">
        <v>33540</v>
      </c>
      <c r="I150" s="27">
        <f t="shared" si="124"/>
        <v>256060</v>
      </c>
      <c r="J150" s="27">
        <f t="shared" si="122"/>
        <v>256060</v>
      </c>
      <c r="K150" s="27"/>
      <c r="L150" s="300"/>
      <c r="M150" s="204"/>
      <c r="N150" s="204"/>
      <c r="O150" s="204"/>
      <c r="P150" s="204"/>
      <c r="Q150" s="204"/>
      <c r="R150" s="22">
        <v>322</v>
      </c>
      <c r="S150" s="30">
        <v>15356.56</v>
      </c>
    </row>
    <row r="151" spans="1:22" s="22" customFormat="1" x14ac:dyDescent="0.25">
      <c r="A151" s="24"/>
      <c r="B151" s="25" t="s">
        <v>507</v>
      </c>
      <c r="C151" s="88">
        <v>341</v>
      </c>
      <c r="D151" s="27"/>
      <c r="E151" s="27">
        <v>120000</v>
      </c>
      <c r="F151" s="27"/>
      <c r="G151" s="27">
        <f t="shared" si="123"/>
        <v>120000</v>
      </c>
      <c r="H151" s="27">
        <v>42459</v>
      </c>
      <c r="I151" s="27">
        <f t="shared" si="124"/>
        <v>77541</v>
      </c>
      <c r="J151" s="27">
        <f t="shared" si="122"/>
        <v>77541</v>
      </c>
      <c r="K151" s="27"/>
      <c r="L151" s="300"/>
      <c r="M151" s="204"/>
      <c r="N151" s="204"/>
      <c r="O151" s="204"/>
      <c r="P151" s="204"/>
      <c r="Q151" s="204"/>
      <c r="R151" s="22">
        <v>341</v>
      </c>
      <c r="S151" s="30">
        <v>1280892.3540000001</v>
      </c>
    </row>
    <row r="152" spans="1:22" s="22" customFormat="1" x14ac:dyDescent="0.25">
      <c r="A152" s="24"/>
      <c r="B152" s="25" t="s">
        <v>68</v>
      </c>
      <c r="C152" s="88">
        <v>322</v>
      </c>
      <c r="D152" s="27"/>
      <c r="E152" s="267">
        <v>140000</v>
      </c>
      <c r="F152" s="27"/>
      <c r="G152" s="27">
        <f t="shared" si="123"/>
        <v>140000</v>
      </c>
      <c r="H152" s="27">
        <v>15356.56</v>
      </c>
      <c r="I152" s="27">
        <f t="shared" si="124"/>
        <v>124643.44</v>
      </c>
      <c r="J152" s="27">
        <f t="shared" si="122"/>
        <v>124643.44</v>
      </c>
      <c r="K152" s="27"/>
      <c r="L152" s="300"/>
      <c r="M152" s="204"/>
      <c r="N152" s="204"/>
      <c r="O152" s="204"/>
      <c r="P152" s="204"/>
      <c r="Q152" s="204"/>
      <c r="R152" s="42" t="s">
        <v>69</v>
      </c>
      <c r="S152" s="30"/>
    </row>
    <row r="153" spans="1:22" s="22" customFormat="1" ht="31.5" x14ac:dyDescent="0.25">
      <c r="A153" s="46"/>
      <c r="B153" s="41" t="s">
        <v>508</v>
      </c>
      <c r="C153" s="88">
        <v>341</v>
      </c>
      <c r="D153" s="27"/>
      <c r="E153" s="27">
        <v>36000</v>
      </c>
      <c r="F153" s="27"/>
      <c r="G153" s="27">
        <f t="shared" si="123"/>
        <v>36000</v>
      </c>
      <c r="H153" s="27">
        <v>27730</v>
      </c>
      <c r="I153" s="27">
        <f t="shared" si="124"/>
        <v>8270</v>
      </c>
      <c r="J153" s="27">
        <f t="shared" si="122"/>
        <v>8270</v>
      </c>
      <c r="K153" s="27"/>
      <c r="L153" s="300"/>
      <c r="M153" s="204"/>
      <c r="N153" s="204"/>
      <c r="O153" s="204"/>
      <c r="P153" s="204"/>
      <c r="Q153" s="204"/>
      <c r="S153" s="30"/>
    </row>
    <row r="154" spans="1:22" s="22" customFormat="1" x14ac:dyDescent="0.25">
      <c r="A154" s="46"/>
      <c r="B154" s="41" t="s">
        <v>70</v>
      </c>
      <c r="C154" s="88">
        <v>341</v>
      </c>
      <c r="D154" s="27"/>
      <c r="E154" s="27">
        <v>25000</v>
      </c>
      <c r="F154" s="27"/>
      <c r="G154" s="27">
        <f t="shared" si="123"/>
        <v>25000</v>
      </c>
      <c r="H154" s="27">
        <f>G154</f>
        <v>25000</v>
      </c>
      <c r="I154" s="27">
        <f t="shared" si="124"/>
        <v>0</v>
      </c>
      <c r="J154" s="27">
        <f t="shared" si="122"/>
        <v>0</v>
      </c>
      <c r="K154" s="27"/>
      <c r="L154" s="300"/>
      <c r="M154" s="204"/>
      <c r="N154" s="204"/>
      <c r="O154" s="204"/>
      <c r="P154" s="204"/>
      <c r="Q154" s="204"/>
      <c r="S154" s="30"/>
    </row>
    <row r="155" spans="1:22" s="22" customFormat="1" ht="31.5" x14ac:dyDescent="0.25">
      <c r="A155" s="46"/>
      <c r="B155" s="41" t="s">
        <v>71</v>
      </c>
      <c r="C155" s="88">
        <v>341</v>
      </c>
      <c r="D155" s="27"/>
      <c r="E155" s="27">
        <v>10000</v>
      </c>
      <c r="F155" s="27"/>
      <c r="G155" s="27">
        <f t="shared" si="123"/>
        <v>10000</v>
      </c>
      <c r="H155" s="27">
        <f>G155</f>
        <v>10000</v>
      </c>
      <c r="I155" s="27">
        <f t="shared" si="124"/>
        <v>0</v>
      </c>
      <c r="J155" s="27">
        <f t="shared" si="122"/>
        <v>0</v>
      </c>
      <c r="K155" s="27"/>
      <c r="L155" s="300"/>
      <c r="M155" s="204"/>
      <c r="N155" s="204"/>
      <c r="O155" s="204"/>
      <c r="P155" s="204"/>
      <c r="Q155" s="204"/>
      <c r="S155" s="30"/>
    </row>
    <row r="156" spans="1:22" s="22" customFormat="1" x14ac:dyDescent="0.25">
      <c r="A156" s="46"/>
      <c r="B156" s="41" t="s">
        <v>72</v>
      </c>
      <c r="C156" s="88">
        <v>341</v>
      </c>
      <c r="D156" s="27"/>
      <c r="E156" s="27">
        <v>10000</v>
      </c>
      <c r="F156" s="27"/>
      <c r="G156" s="27">
        <f t="shared" si="123"/>
        <v>10000</v>
      </c>
      <c r="H156" s="27"/>
      <c r="I156" s="27">
        <f t="shared" si="124"/>
        <v>10000</v>
      </c>
      <c r="J156" s="27">
        <f t="shared" si="122"/>
        <v>10000</v>
      </c>
      <c r="K156" s="27"/>
      <c r="L156" s="300"/>
      <c r="M156" s="204"/>
      <c r="N156" s="204"/>
      <c r="O156" s="204"/>
      <c r="P156" s="204"/>
      <c r="Q156" s="204"/>
      <c r="S156" s="30"/>
    </row>
    <row r="157" spans="1:22" s="22" customFormat="1" ht="47.25" x14ac:dyDescent="0.25">
      <c r="A157" s="46"/>
      <c r="B157" s="41" t="s">
        <v>509</v>
      </c>
      <c r="C157" s="88">
        <v>341</v>
      </c>
      <c r="D157" s="27"/>
      <c r="E157" s="27">
        <f>3*20000</f>
        <v>60000</v>
      </c>
      <c r="F157" s="27"/>
      <c r="G157" s="27">
        <f t="shared" si="123"/>
        <v>60000</v>
      </c>
      <c r="H157" s="27"/>
      <c r="I157" s="27">
        <f t="shared" si="124"/>
        <v>60000</v>
      </c>
      <c r="J157" s="27">
        <f t="shared" si="122"/>
        <v>60000</v>
      </c>
      <c r="K157" s="27"/>
      <c r="L157" s="300"/>
      <c r="M157" s="204"/>
      <c r="N157" s="204"/>
      <c r="O157" s="204"/>
      <c r="P157" s="204"/>
      <c r="Q157" s="204"/>
      <c r="R157" s="42"/>
      <c r="S157" s="30"/>
    </row>
    <row r="158" spans="1:22" s="22" customFormat="1" ht="31.5" x14ac:dyDescent="0.25">
      <c r="A158" s="46"/>
      <c r="B158" s="41" t="s">
        <v>510</v>
      </c>
      <c r="C158" s="88">
        <v>341</v>
      </c>
      <c r="D158" s="27"/>
      <c r="E158" s="27">
        <v>10000</v>
      </c>
      <c r="F158" s="27"/>
      <c r="G158" s="27">
        <f t="shared" ref="G158" si="125">SUM(D158:F158)</f>
        <v>10000</v>
      </c>
      <c r="H158" s="27"/>
      <c r="I158" s="27">
        <f t="shared" ref="I158" si="126">G158-H158</f>
        <v>10000</v>
      </c>
      <c r="J158" s="27">
        <f t="shared" si="122"/>
        <v>10000</v>
      </c>
      <c r="K158" s="27"/>
      <c r="L158" s="300"/>
      <c r="M158" s="204"/>
      <c r="N158" s="204"/>
      <c r="O158" s="204"/>
      <c r="P158" s="204"/>
      <c r="Q158" s="204"/>
      <c r="R158" s="42"/>
      <c r="S158" s="30"/>
    </row>
    <row r="159" spans="1:22" s="22" customFormat="1" x14ac:dyDescent="0.25">
      <c r="A159" s="46"/>
      <c r="B159" s="41" t="s">
        <v>511</v>
      </c>
      <c r="C159" s="88">
        <v>341</v>
      </c>
      <c r="D159" s="27"/>
      <c r="E159" s="27">
        <v>50000</v>
      </c>
      <c r="F159" s="27"/>
      <c r="G159" s="27">
        <f t="shared" ref="G159:G162" si="127">SUM(D159:F159)</f>
        <v>50000</v>
      </c>
      <c r="H159" s="27">
        <f>G159</f>
        <v>50000</v>
      </c>
      <c r="I159" s="27">
        <f t="shared" ref="I159:I163" si="128">G159-H159</f>
        <v>0</v>
      </c>
      <c r="J159" s="27">
        <f t="shared" si="122"/>
        <v>0</v>
      </c>
      <c r="K159" s="27"/>
      <c r="L159" s="300"/>
      <c r="M159" s="204"/>
      <c r="N159" s="204"/>
      <c r="O159" s="204"/>
      <c r="P159" s="204"/>
      <c r="Q159" s="204"/>
      <c r="R159" s="42"/>
      <c r="S159" s="30"/>
    </row>
    <row r="160" spans="1:22" s="22" customFormat="1" x14ac:dyDescent="0.25">
      <c r="A160" s="46"/>
      <c r="B160" s="41" t="s">
        <v>512</v>
      </c>
      <c r="C160" s="88">
        <v>341</v>
      </c>
      <c r="D160" s="27"/>
      <c r="E160" s="27">
        <v>1123000</v>
      </c>
      <c r="F160" s="27"/>
      <c r="G160" s="27">
        <f t="shared" si="127"/>
        <v>1123000</v>
      </c>
      <c r="H160" s="27"/>
      <c r="I160" s="27">
        <f t="shared" si="128"/>
        <v>1123000</v>
      </c>
      <c r="J160" s="27">
        <f t="shared" si="122"/>
        <v>1123000</v>
      </c>
      <c r="K160" s="27"/>
      <c r="L160" s="300"/>
      <c r="M160" s="204"/>
      <c r="N160" s="204"/>
      <c r="O160" s="204"/>
      <c r="P160" s="204"/>
      <c r="Q160" s="204"/>
      <c r="R160" s="42"/>
      <c r="S160" s="30"/>
    </row>
    <row r="161" spans="1:22" s="22" customFormat="1" ht="31.5" x14ac:dyDescent="0.25">
      <c r="A161" s="46"/>
      <c r="B161" s="41" t="s">
        <v>513</v>
      </c>
      <c r="C161" s="88">
        <v>341</v>
      </c>
      <c r="D161" s="27"/>
      <c r="E161" s="27">
        <v>20000</v>
      </c>
      <c r="F161" s="27"/>
      <c r="G161" s="27">
        <f t="shared" si="127"/>
        <v>20000</v>
      </c>
      <c r="H161" s="27">
        <f>G161</f>
        <v>20000</v>
      </c>
      <c r="I161" s="27">
        <f t="shared" si="128"/>
        <v>0</v>
      </c>
      <c r="J161" s="27">
        <f t="shared" si="122"/>
        <v>0</v>
      </c>
      <c r="K161" s="27"/>
      <c r="L161" s="300"/>
      <c r="M161" s="204"/>
      <c r="N161" s="204"/>
      <c r="O161" s="204"/>
      <c r="P161" s="204"/>
      <c r="Q161" s="204"/>
      <c r="R161" s="42"/>
      <c r="S161" s="30"/>
    </row>
    <row r="162" spans="1:22" s="22" customFormat="1" x14ac:dyDescent="0.25">
      <c r="A162" s="46"/>
      <c r="B162" s="25" t="s">
        <v>619</v>
      </c>
      <c r="C162" s="88" t="s">
        <v>614</v>
      </c>
      <c r="D162" s="27"/>
      <c r="E162" s="27"/>
      <c r="F162" s="27">
        <v>26000</v>
      </c>
      <c r="G162" s="27">
        <f t="shared" si="127"/>
        <v>26000</v>
      </c>
      <c r="H162" s="27">
        <f>G162</f>
        <v>26000</v>
      </c>
      <c r="I162" s="27">
        <f t="shared" si="128"/>
        <v>0</v>
      </c>
      <c r="J162" s="27">
        <f t="shared" si="122"/>
        <v>0</v>
      </c>
      <c r="K162" s="27"/>
      <c r="L162" s="300"/>
      <c r="M162" s="204"/>
      <c r="N162" s="204"/>
      <c r="O162" s="204"/>
      <c r="P162" s="204"/>
      <c r="Q162" s="204"/>
      <c r="R162" s="42"/>
      <c r="S162" s="30"/>
    </row>
    <row r="163" spans="1:22" x14ac:dyDescent="0.25">
      <c r="A163" s="61"/>
      <c r="B163" s="25" t="s">
        <v>693</v>
      </c>
      <c r="C163" s="88">
        <v>281</v>
      </c>
      <c r="D163" s="285"/>
      <c r="E163" s="287"/>
      <c r="F163" s="285">
        <v>63000</v>
      </c>
      <c r="G163" s="285">
        <f t="shared" ref="G163" si="129">SUM(D163:F163)</f>
        <v>63000</v>
      </c>
      <c r="H163" s="285">
        <f>G163</f>
        <v>63000</v>
      </c>
      <c r="I163" s="285">
        <f t="shared" si="128"/>
        <v>0</v>
      </c>
      <c r="J163" s="27">
        <f t="shared" si="122"/>
        <v>0</v>
      </c>
      <c r="K163" s="27"/>
      <c r="L163" s="300" t="s">
        <v>694</v>
      </c>
      <c r="M163" s="204"/>
      <c r="N163" s="204"/>
      <c r="O163" s="204"/>
      <c r="P163" s="204"/>
      <c r="Q163" s="204"/>
    </row>
    <row r="164" spans="1:22" ht="20.25" customHeight="1" x14ac:dyDescent="0.25">
      <c r="A164" s="14">
        <v>10</v>
      </c>
      <c r="B164" s="15" t="s">
        <v>73</v>
      </c>
      <c r="C164" s="15"/>
      <c r="D164" s="16">
        <f t="shared" ref="D164:Q164" si="130">SUM(D165:D177)</f>
        <v>0</v>
      </c>
      <c r="E164" s="16">
        <f t="shared" si="130"/>
        <v>1055000</v>
      </c>
      <c r="F164" s="16">
        <f t="shared" si="130"/>
        <v>2868654</v>
      </c>
      <c r="G164" s="318">
        <f t="shared" si="130"/>
        <v>3923654</v>
      </c>
      <c r="H164" s="318">
        <f t="shared" si="130"/>
        <v>1367101.892</v>
      </c>
      <c r="I164" s="318">
        <f t="shared" si="130"/>
        <v>2556552.108</v>
      </c>
      <c r="J164" s="318">
        <f t="shared" si="130"/>
        <v>2556552.108</v>
      </c>
      <c r="K164" s="318">
        <f t="shared" si="130"/>
        <v>0</v>
      </c>
      <c r="L164" s="299">
        <f t="shared" si="130"/>
        <v>0</v>
      </c>
      <c r="M164" s="16">
        <f t="shared" si="130"/>
        <v>0</v>
      </c>
      <c r="N164" s="16">
        <f t="shared" si="130"/>
        <v>0</v>
      </c>
      <c r="O164" s="16">
        <f t="shared" si="130"/>
        <v>0</v>
      </c>
      <c r="P164" s="16">
        <f t="shared" si="130"/>
        <v>0</v>
      </c>
      <c r="Q164" s="16">
        <f t="shared" si="130"/>
        <v>0</v>
      </c>
      <c r="R164" s="319">
        <f>S164-H164</f>
        <v>-1603.1699999999255</v>
      </c>
      <c r="S164" s="131">
        <f>SUM(S165:S177)</f>
        <v>1365498.7220000001</v>
      </c>
      <c r="T164" s="155">
        <f>G164-SUM(D164:F164)</f>
        <v>0</v>
      </c>
      <c r="U164" s="155">
        <f>G164-H164-I164</f>
        <v>0</v>
      </c>
      <c r="V164" s="155">
        <f>I164-J164-K164</f>
        <v>0</v>
      </c>
    </row>
    <row r="165" spans="1:22" s="22" customFormat="1" ht="35.25" customHeight="1" x14ac:dyDescent="0.25">
      <c r="A165" s="24"/>
      <c r="B165" s="25" t="s">
        <v>74</v>
      </c>
      <c r="C165" s="88">
        <v>341</v>
      </c>
      <c r="D165" s="27"/>
      <c r="E165" s="27">
        <v>10000</v>
      </c>
      <c r="F165" s="27"/>
      <c r="G165" s="27">
        <f>SUM(D165:F165)</f>
        <v>10000</v>
      </c>
      <c r="H165" s="27"/>
      <c r="I165" s="27">
        <f>G165-H165</f>
        <v>10000</v>
      </c>
      <c r="J165" s="27">
        <f t="shared" si="122"/>
        <v>10000</v>
      </c>
      <c r="K165" s="27"/>
      <c r="L165" s="300"/>
      <c r="M165" s="204"/>
      <c r="N165" s="204"/>
      <c r="O165" s="204"/>
      <c r="P165" s="204"/>
      <c r="Q165" s="204"/>
      <c r="R165" s="139" t="s">
        <v>614</v>
      </c>
      <c r="S165" s="30">
        <v>1000</v>
      </c>
    </row>
    <row r="166" spans="1:22" s="22" customFormat="1" ht="31.5" x14ac:dyDescent="0.25">
      <c r="A166" s="24"/>
      <c r="B166" s="41" t="s">
        <v>76</v>
      </c>
      <c r="C166" s="88">
        <v>341</v>
      </c>
      <c r="D166" s="27"/>
      <c r="E166" s="27">
        <v>100000</v>
      </c>
      <c r="F166" s="27"/>
      <c r="G166" s="27">
        <f t="shared" ref="G166:G170" si="131">SUM(D166:F166)</f>
        <v>100000</v>
      </c>
      <c r="H166" s="27">
        <f>G166</f>
        <v>100000</v>
      </c>
      <c r="I166" s="27">
        <f t="shared" ref="I166:I170" si="132">G166-H166</f>
        <v>0</v>
      </c>
      <c r="J166" s="27">
        <f t="shared" si="122"/>
        <v>0</v>
      </c>
      <c r="K166" s="27"/>
      <c r="L166" s="300"/>
      <c r="M166" s="204"/>
      <c r="N166" s="204"/>
      <c r="O166" s="204"/>
      <c r="P166" s="204"/>
      <c r="Q166" s="204"/>
      <c r="R166" s="22">
        <v>251</v>
      </c>
      <c r="S166" s="30">
        <v>0</v>
      </c>
    </row>
    <row r="167" spans="1:22" s="22" customFormat="1" x14ac:dyDescent="0.25">
      <c r="A167" s="24"/>
      <c r="B167" s="41" t="s">
        <v>514</v>
      </c>
      <c r="C167" s="88">
        <v>338</v>
      </c>
      <c r="D167" s="27"/>
      <c r="E167" s="267">
        <v>95000</v>
      </c>
      <c r="F167" s="27"/>
      <c r="G167" s="27">
        <f t="shared" si="131"/>
        <v>95000</v>
      </c>
      <c r="H167" s="27">
        <f>G167</f>
        <v>95000</v>
      </c>
      <c r="I167" s="27">
        <f t="shared" si="132"/>
        <v>0</v>
      </c>
      <c r="J167" s="27">
        <f t="shared" si="122"/>
        <v>0</v>
      </c>
      <c r="K167" s="27"/>
      <c r="L167" s="300"/>
      <c r="M167" s="204"/>
      <c r="N167" s="204"/>
      <c r="O167" s="204"/>
      <c r="P167" s="204"/>
      <c r="Q167" s="204"/>
      <c r="R167" s="22">
        <v>261</v>
      </c>
      <c r="S167" s="30">
        <v>894218.89199999999</v>
      </c>
    </row>
    <row r="168" spans="1:22" s="22" customFormat="1" x14ac:dyDescent="0.25">
      <c r="A168" s="24"/>
      <c r="B168" s="41" t="s">
        <v>75</v>
      </c>
      <c r="C168" s="88">
        <v>338</v>
      </c>
      <c r="D168" s="27"/>
      <c r="E168" s="267">
        <v>835000</v>
      </c>
      <c r="F168" s="27"/>
      <c r="G168" s="27">
        <f t="shared" si="131"/>
        <v>835000</v>
      </c>
      <c r="H168" s="27"/>
      <c r="I168" s="27">
        <f t="shared" si="132"/>
        <v>835000</v>
      </c>
      <c r="J168" s="27">
        <f t="shared" si="122"/>
        <v>835000</v>
      </c>
      <c r="K168" s="27"/>
      <c r="L168" s="300"/>
      <c r="M168" s="204"/>
      <c r="N168" s="204"/>
      <c r="O168" s="204"/>
      <c r="P168" s="204"/>
      <c r="Q168" s="204"/>
      <c r="R168" s="22">
        <v>278</v>
      </c>
      <c r="S168" s="22">
        <v>113700</v>
      </c>
    </row>
    <row r="169" spans="1:22" s="22" customFormat="1" x14ac:dyDescent="0.25">
      <c r="A169" s="24"/>
      <c r="B169" s="25" t="s">
        <v>118</v>
      </c>
      <c r="C169" s="88">
        <v>341</v>
      </c>
      <c r="D169" s="27"/>
      <c r="E169" s="27">
        <v>15000</v>
      </c>
      <c r="F169" s="27"/>
      <c r="G169" s="27">
        <f t="shared" si="131"/>
        <v>15000</v>
      </c>
      <c r="H169" s="27">
        <f>G169</f>
        <v>15000</v>
      </c>
      <c r="I169" s="27">
        <f t="shared" si="132"/>
        <v>0</v>
      </c>
      <c r="J169" s="27">
        <f t="shared" si="122"/>
        <v>0</v>
      </c>
      <c r="K169" s="27"/>
      <c r="L169" s="300"/>
      <c r="M169" s="204"/>
      <c r="N169" s="204"/>
      <c r="O169" s="204"/>
      <c r="P169" s="204"/>
      <c r="Q169" s="204"/>
      <c r="R169" s="22">
        <v>338</v>
      </c>
      <c r="S169" s="22">
        <v>115228.08</v>
      </c>
    </row>
    <row r="170" spans="1:22" s="22" customFormat="1" x14ac:dyDescent="0.25">
      <c r="A170" s="24"/>
      <c r="B170" s="25" t="s">
        <v>619</v>
      </c>
      <c r="C170" s="88" t="s">
        <v>614</v>
      </c>
      <c r="D170" s="27"/>
      <c r="E170" s="27"/>
      <c r="F170" s="27">
        <v>1000</v>
      </c>
      <c r="G170" s="27">
        <f t="shared" si="131"/>
        <v>1000</v>
      </c>
      <c r="H170" s="27">
        <f>G170</f>
        <v>1000</v>
      </c>
      <c r="I170" s="27">
        <f t="shared" si="132"/>
        <v>0</v>
      </c>
      <c r="J170" s="27">
        <f t="shared" si="122"/>
        <v>0</v>
      </c>
      <c r="K170" s="27"/>
      <c r="L170" s="300"/>
      <c r="M170" s="204"/>
      <c r="N170" s="204"/>
      <c r="O170" s="204"/>
      <c r="P170" s="204"/>
      <c r="Q170" s="204"/>
      <c r="R170" s="22">
        <v>341</v>
      </c>
      <c r="S170" s="22">
        <v>207560</v>
      </c>
    </row>
    <row r="171" spans="1:22" s="22" customFormat="1" x14ac:dyDescent="0.25">
      <c r="A171" s="24"/>
      <c r="B171" s="351" t="s">
        <v>656</v>
      </c>
      <c r="C171" s="88">
        <v>278</v>
      </c>
      <c r="D171" s="27"/>
      <c r="E171" s="27"/>
      <c r="F171" s="27">
        <v>542000</v>
      </c>
      <c r="G171" s="27">
        <f t="shared" ref="G171:G172" si="133">SUM(D171:F171)</f>
        <v>542000</v>
      </c>
      <c r="H171" s="27">
        <v>113700</v>
      </c>
      <c r="I171" s="27">
        <f t="shared" ref="I171:I172" si="134">G171-H171</f>
        <v>428300</v>
      </c>
      <c r="J171" s="27">
        <f t="shared" ref="J171:J172" si="135">I171-K171</f>
        <v>428300</v>
      </c>
      <c r="K171" s="27"/>
      <c r="L171" s="300"/>
      <c r="M171" s="204"/>
      <c r="N171" s="204"/>
      <c r="O171" s="204"/>
      <c r="P171" s="204"/>
      <c r="Q171" s="204"/>
      <c r="R171" s="22">
        <v>428</v>
      </c>
      <c r="S171" s="30">
        <v>33791.75</v>
      </c>
    </row>
    <row r="172" spans="1:22" s="22" customFormat="1" x14ac:dyDescent="0.25">
      <c r="A172" s="24"/>
      <c r="B172" s="352"/>
      <c r="C172" s="88">
        <v>251</v>
      </c>
      <c r="D172" s="27"/>
      <c r="E172" s="27"/>
      <c r="F172" s="27">
        <v>11000</v>
      </c>
      <c r="G172" s="27">
        <f t="shared" si="133"/>
        <v>11000</v>
      </c>
      <c r="H172" s="27">
        <v>0</v>
      </c>
      <c r="I172" s="27">
        <f t="shared" si="134"/>
        <v>11000</v>
      </c>
      <c r="J172" s="27">
        <f t="shared" si="135"/>
        <v>11000</v>
      </c>
      <c r="K172" s="27"/>
      <c r="L172" s="300"/>
      <c r="M172" s="204"/>
      <c r="N172" s="204"/>
      <c r="O172" s="204"/>
      <c r="P172" s="204"/>
      <c r="Q172" s="204"/>
      <c r="S172" s="30"/>
    </row>
    <row r="173" spans="1:22" s="22" customFormat="1" x14ac:dyDescent="0.25">
      <c r="A173" s="24"/>
      <c r="B173" s="353"/>
      <c r="C173" s="88">
        <v>261</v>
      </c>
      <c r="D173" s="27"/>
      <c r="E173" s="27"/>
      <c r="F173" s="27">
        <v>2149703</v>
      </c>
      <c r="G173" s="27">
        <f t="shared" ref="G173:G175" si="136">SUM(D173:F173)</f>
        <v>2149703</v>
      </c>
      <c r="H173" s="27">
        <v>894218.89199999999</v>
      </c>
      <c r="I173" s="27">
        <f t="shared" ref="I173:I175" si="137">G173-H173</f>
        <v>1255484.108</v>
      </c>
      <c r="J173" s="27">
        <f t="shared" si="122"/>
        <v>1255484.108</v>
      </c>
      <c r="K173" s="27"/>
      <c r="L173" s="300"/>
      <c r="M173" s="204"/>
      <c r="N173" s="204"/>
      <c r="O173" s="204"/>
      <c r="P173" s="204"/>
      <c r="Q173" s="204"/>
      <c r="S173" s="30"/>
    </row>
    <row r="174" spans="1:22" s="22" customFormat="1" ht="31.5" x14ac:dyDescent="0.25">
      <c r="A174" s="24"/>
      <c r="B174" s="25" t="s">
        <v>669</v>
      </c>
      <c r="C174" s="88">
        <v>428</v>
      </c>
      <c r="D174" s="27"/>
      <c r="E174" s="27"/>
      <c r="F174" s="27">
        <v>29600</v>
      </c>
      <c r="G174" s="27">
        <f t="shared" si="136"/>
        <v>29600</v>
      </c>
      <c r="H174" s="27">
        <f>G174</f>
        <v>29600</v>
      </c>
      <c r="I174" s="27">
        <f t="shared" si="137"/>
        <v>0</v>
      </c>
      <c r="J174" s="27">
        <f t="shared" si="122"/>
        <v>0</v>
      </c>
      <c r="K174" s="27"/>
      <c r="L174" s="300"/>
      <c r="M174" s="204"/>
      <c r="N174" s="204"/>
      <c r="O174" s="204"/>
      <c r="P174" s="204"/>
      <c r="Q174" s="204"/>
      <c r="S174" s="30"/>
    </row>
    <row r="175" spans="1:22" s="22" customFormat="1" ht="31.5" x14ac:dyDescent="0.25">
      <c r="A175" s="24"/>
      <c r="B175" s="25" t="s">
        <v>680</v>
      </c>
      <c r="C175" s="88">
        <v>428</v>
      </c>
      <c r="D175" s="27"/>
      <c r="E175" s="27"/>
      <c r="F175" s="27">
        <v>20959</v>
      </c>
      <c r="G175" s="27">
        <f t="shared" si="136"/>
        <v>20959</v>
      </c>
      <c r="H175" s="27">
        <v>4191</v>
      </c>
      <c r="I175" s="27">
        <f t="shared" si="137"/>
        <v>16768</v>
      </c>
      <c r="J175" s="27">
        <f t="shared" si="122"/>
        <v>16768</v>
      </c>
      <c r="K175" s="27"/>
      <c r="L175" s="300"/>
      <c r="M175" s="204"/>
      <c r="N175" s="204"/>
      <c r="O175" s="204"/>
      <c r="P175" s="204"/>
      <c r="Q175" s="204"/>
      <c r="S175" s="30"/>
    </row>
    <row r="176" spans="1:22" s="22" customFormat="1" ht="21.75" customHeight="1" x14ac:dyDescent="0.25">
      <c r="A176" s="24"/>
      <c r="B176" s="25" t="s">
        <v>700</v>
      </c>
      <c r="C176" s="88">
        <v>338</v>
      </c>
      <c r="D176" s="27"/>
      <c r="E176" s="27"/>
      <c r="F176" s="27">
        <v>21392</v>
      </c>
      <c r="G176" s="27">
        <f t="shared" ref="G176" si="138">SUM(D176:F176)</f>
        <v>21392</v>
      </c>
      <c r="H176" s="27">
        <f>G176</f>
        <v>21392</v>
      </c>
      <c r="I176" s="27">
        <f t="shared" ref="I176" si="139">G176-H176</f>
        <v>0</v>
      </c>
      <c r="J176" s="27">
        <f t="shared" ref="J176" si="140">I176-K176</f>
        <v>0</v>
      </c>
      <c r="K176" s="27"/>
      <c r="L176" s="300" t="s">
        <v>694</v>
      </c>
      <c r="M176" s="204"/>
      <c r="N176" s="204"/>
      <c r="O176" s="204"/>
      <c r="P176" s="204"/>
      <c r="Q176" s="204"/>
      <c r="S176" s="30"/>
    </row>
    <row r="177" spans="1:22" s="22" customFormat="1" ht="47.25" x14ac:dyDescent="0.25">
      <c r="A177" s="24"/>
      <c r="B177" s="25" t="s">
        <v>705</v>
      </c>
      <c r="C177" s="88">
        <v>338</v>
      </c>
      <c r="D177" s="27"/>
      <c r="E177" s="27"/>
      <c r="F177" s="27">
        <v>93000</v>
      </c>
      <c r="G177" s="27">
        <f t="shared" ref="G177" si="141">SUM(D177:F177)</f>
        <v>93000</v>
      </c>
      <c r="H177" s="27">
        <f>G177</f>
        <v>93000</v>
      </c>
      <c r="I177" s="27">
        <f t="shared" ref="I177" si="142">G177-H177</f>
        <v>0</v>
      </c>
      <c r="J177" s="27">
        <f t="shared" ref="J177" si="143">I177-K177</f>
        <v>0</v>
      </c>
      <c r="K177" s="27"/>
      <c r="L177" s="300" t="s">
        <v>694</v>
      </c>
      <c r="M177" s="204"/>
      <c r="N177" s="204"/>
      <c r="O177" s="204"/>
      <c r="P177" s="204"/>
      <c r="Q177" s="204"/>
      <c r="S177" s="30"/>
    </row>
    <row r="178" spans="1:22" ht="16.5" x14ac:dyDescent="0.25">
      <c r="A178" s="14">
        <v>11</v>
      </c>
      <c r="B178" s="15" t="s">
        <v>77</v>
      </c>
      <c r="C178" s="15"/>
      <c r="D178" s="16">
        <f t="shared" ref="D178:Q178" si="144">SUM(D179:D191)</f>
        <v>0</v>
      </c>
      <c r="E178" s="16">
        <f t="shared" si="144"/>
        <v>3540500</v>
      </c>
      <c r="F178" s="16">
        <f t="shared" si="144"/>
        <v>120200</v>
      </c>
      <c r="G178" s="318">
        <f t="shared" si="144"/>
        <v>3660700</v>
      </c>
      <c r="H178" s="318">
        <f t="shared" si="144"/>
        <v>1434447</v>
      </c>
      <c r="I178" s="318">
        <f t="shared" si="144"/>
        <v>2226253</v>
      </c>
      <c r="J178" s="318">
        <f t="shared" si="144"/>
        <v>2226253</v>
      </c>
      <c r="K178" s="318">
        <f t="shared" si="144"/>
        <v>0</v>
      </c>
      <c r="L178" s="299">
        <f t="shared" si="144"/>
        <v>0</v>
      </c>
      <c r="M178" s="16">
        <f t="shared" si="144"/>
        <v>0</v>
      </c>
      <c r="N178" s="16">
        <f t="shared" si="144"/>
        <v>0</v>
      </c>
      <c r="O178" s="16">
        <f t="shared" si="144"/>
        <v>0</v>
      </c>
      <c r="P178" s="16">
        <f t="shared" si="144"/>
        <v>0</v>
      </c>
      <c r="Q178" s="16">
        <f t="shared" si="144"/>
        <v>0</v>
      </c>
      <c r="R178" s="319">
        <f>S178-H178</f>
        <v>-60789.20299999998</v>
      </c>
      <c r="S178" s="131">
        <f>SUM(S179:S182)</f>
        <v>1373657.797</v>
      </c>
      <c r="T178" s="155">
        <f>G178-SUM(D178:F178)</f>
        <v>0</v>
      </c>
      <c r="U178" s="155">
        <f>G178-H178-I178</f>
        <v>0</v>
      </c>
      <c r="V178" s="155">
        <f>I178-J178-K178</f>
        <v>0</v>
      </c>
    </row>
    <row r="179" spans="1:22" s="22" customFormat="1" x14ac:dyDescent="0.25">
      <c r="A179" s="45"/>
      <c r="B179" s="351" t="s">
        <v>515</v>
      </c>
      <c r="C179" s="88">
        <v>341</v>
      </c>
      <c r="D179" s="27"/>
      <c r="E179" s="267">
        <f>1900000</f>
        <v>1900000</v>
      </c>
      <c r="F179" s="27"/>
      <c r="G179" s="27">
        <f>SUM(D179:F179)</f>
        <v>1900000</v>
      </c>
      <c r="H179" s="27">
        <v>1209839</v>
      </c>
      <c r="I179" s="27">
        <f>G179-H179</f>
        <v>690161</v>
      </c>
      <c r="J179" s="27">
        <f t="shared" si="122"/>
        <v>690161</v>
      </c>
      <c r="K179" s="27"/>
      <c r="L179" s="300"/>
      <c r="M179" s="204"/>
      <c r="N179" s="204"/>
      <c r="O179" s="204"/>
      <c r="P179" s="204"/>
      <c r="Q179" s="204"/>
      <c r="R179" s="139" t="s">
        <v>614</v>
      </c>
      <c r="S179" s="30">
        <v>13800</v>
      </c>
    </row>
    <row r="180" spans="1:22" s="22" customFormat="1" x14ac:dyDescent="0.25">
      <c r="A180" s="45"/>
      <c r="B180" s="353"/>
      <c r="C180" s="88" t="s">
        <v>176</v>
      </c>
      <c r="D180" s="27"/>
      <c r="E180" s="267">
        <v>1100000</v>
      </c>
      <c r="F180" s="27"/>
      <c r="G180" s="27">
        <f>SUM(D180:F180)</f>
        <v>1100000</v>
      </c>
      <c r="H180" s="27">
        <v>0</v>
      </c>
      <c r="I180" s="27">
        <f>G180-H180</f>
        <v>1100000</v>
      </c>
      <c r="J180" s="27">
        <f t="shared" ref="J180" si="145">I180-K180</f>
        <v>1100000</v>
      </c>
      <c r="K180" s="27"/>
      <c r="L180" s="300"/>
      <c r="M180" s="204"/>
      <c r="N180" s="204"/>
      <c r="O180" s="204"/>
      <c r="P180" s="204"/>
      <c r="Q180" s="204"/>
      <c r="R180" s="139" t="s">
        <v>176</v>
      </c>
      <c r="S180" s="30">
        <v>0</v>
      </c>
    </row>
    <row r="181" spans="1:22" s="22" customFormat="1" x14ac:dyDescent="0.25">
      <c r="A181" s="45"/>
      <c r="B181" s="25" t="s">
        <v>78</v>
      </c>
      <c r="C181" s="88">
        <v>341</v>
      </c>
      <c r="D181" s="27"/>
      <c r="E181" s="27">
        <v>63000</v>
      </c>
      <c r="F181" s="27"/>
      <c r="G181" s="27">
        <f t="shared" ref="G181:G186" si="146">SUM(D181:F181)</f>
        <v>63000</v>
      </c>
      <c r="H181" s="27">
        <v>29969</v>
      </c>
      <c r="I181" s="27">
        <f t="shared" ref="I181:I186" si="147">G181-H181</f>
        <v>33031</v>
      </c>
      <c r="J181" s="27">
        <f t="shared" si="122"/>
        <v>33031</v>
      </c>
      <c r="K181" s="27"/>
      <c r="L181" s="300"/>
      <c r="M181" s="204"/>
      <c r="N181" s="204"/>
      <c r="O181" s="204"/>
      <c r="P181" s="204"/>
      <c r="Q181" s="204"/>
      <c r="R181" s="22">
        <v>341</v>
      </c>
      <c r="S181" s="30">
        <v>1335557.797</v>
      </c>
    </row>
    <row r="182" spans="1:22" s="22" customFormat="1" ht="31.5" x14ac:dyDescent="0.25">
      <c r="A182" s="45"/>
      <c r="B182" s="25" t="s">
        <v>516</v>
      </c>
      <c r="C182" s="88">
        <v>341</v>
      </c>
      <c r="D182" s="27"/>
      <c r="E182" s="27">
        <v>32000</v>
      </c>
      <c r="F182" s="27"/>
      <c r="G182" s="27">
        <f t="shared" si="146"/>
        <v>32000</v>
      </c>
      <c r="H182" s="27">
        <v>5391</v>
      </c>
      <c r="I182" s="27">
        <f t="shared" si="147"/>
        <v>26609</v>
      </c>
      <c r="J182" s="27">
        <f t="shared" si="122"/>
        <v>26609</v>
      </c>
      <c r="K182" s="27"/>
      <c r="L182" s="300"/>
      <c r="M182" s="204"/>
      <c r="N182" s="204"/>
      <c r="O182" s="204"/>
      <c r="P182" s="204"/>
      <c r="Q182" s="204"/>
      <c r="R182" s="22">
        <v>428</v>
      </c>
      <c r="S182" s="30">
        <v>24300</v>
      </c>
    </row>
    <row r="183" spans="1:22" s="22" customFormat="1" x14ac:dyDescent="0.25">
      <c r="A183" s="45"/>
      <c r="B183" s="25" t="s">
        <v>79</v>
      </c>
      <c r="C183" s="88">
        <v>341</v>
      </c>
      <c r="D183" s="27"/>
      <c r="E183" s="27">
        <v>14000</v>
      </c>
      <c r="F183" s="27"/>
      <c r="G183" s="27">
        <f t="shared" si="146"/>
        <v>14000</v>
      </c>
      <c r="H183" s="27"/>
      <c r="I183" s="27">
        <f t="shared" si="147"/>
        <v>14000</v>
      </c>
      <c r="J183" s="27">
        <f t="shared" si="122"/>
        <v>14000</v>
      </c>
      <c r="K183" s="27"/>
      <c r="L183" s="300"/>
      <c r="M183" s="204"/>
      <c r="N183" s="204"/>
      <c r="O183" s="204"/>
      <c r="P183" s="204"/>
      <c r="Q183" s="204"/>
      <c r="S183" s="30"/>
    </row>
    <row r="184" spans="1:22" s="22" customFormat="1" ht="33.75" customHeight="1" x14ac:dyDescent="0.25">
      <c r="A184" s="45"/>
      <c r="B184" s="25" t="s">
        <v>80</v>
      </c>
      <c r="C184" s="88">
        <v>341</v>
      </c>
      <c r="D184" s="27"/>
      <c r="E184" s="27">
        <f>115*3500</f>
        <v>402500</v>
      </c>
      <c r="F184" s="27"/>
      <c r="G184" s="27">
        <f t="shared" si="146"/>
        <v>402500</v>
      </c>
      <c r="H184" s="27">
        <v>83787</v>
      </c>
      <c r="I184" s="27">
        <f t="shared" si="147"/>
        <v>318713</v>
      </c>
      <c r="J184" s="27">
        <f t="shared" si="122"/>
        <v>318713</v>
      </c>
      <c r="K184" s="27"/>
      <c r="L184" s="300"/>
      <c r="M184" s="204"/>
      <c r="N184" s="204"/>
      <c r="O184" s="204"/>
      <c r="P184" s="204"/>
      <c r="Q184" s="204"/>
      <c r="S184" s="30"/>
    </row>
    <row r="185" spans="1:22" s="22" customFormat="1" ht="33.75" customHeight="1" x14ac:dyDescent="0.25">
      <c r="A185" s="24"/>
      <c r="B185" s="33" t="s">
        <v>81</v>
      </c>
      <c r="C185" s="88">
        <v>341</v>
      </c>
      <c r="D185" s="27"/>
      <c r="E185" s="27">
        <v>29000</v>
      </c>
      <c r="F185" s="27"/>
      <c r="G185" s="27">
        <f t="shared" si="146"/>
        <v>29000</v>
      </c>
      <c r="H185" s="27">
        <v>15933</v>
      </c>
      <c r="I185" s="27">
        <f t="shared" si="147"/>
        <v>13067</v>
      </c>
      <c r="J185" s="27">
        <f t="shared" si="122"/>
        <v>13067</v>
      </c>
      <c r="K185" s="27"/>
      <c r="L185" s="300"/>
      <c r="M185" s="204"/>
      <c r="N185" s="204"/>
      <c r="O185" s="204"/>
      <c r="P185" s="204"/>
      <c r="Q185" s="204"/>
      <c r="S185" s="30"/>
    </row>
    <row r="186" spans="1:22" s="22" customFormat="1" ht="23.25" customHeight="1" x14ac:dyDescent="0.25">
      <c r="A186" s="24"/>
      <c r="B186" s="33" t="s">
        <v>610</v>
      </c>
      <c r="C186" s="88">
        <v>341</v>
      </c>
      <c r="D186" s="27"/>
      <c r="E186" s="27"/>
      <c r="F186" s="27">
        <v>24000</v>
      </c>
      <c r="G186" s="27">
        <f t="shared" si="146"/>
        <v>24000</v>
      </c>
      <c r="H186" s="27">
        <v>7260</v>
      </c>
      <c r="I186" s="27">
        <f t="shared" si="147"/>
        <v>16740</v>
      </c>
      <c r="J186" s="27">
        <f t="shared" si="122"/>
        <v>16740</v>
      </c>
      <c r="K186" s="27"/>
      <c r="L186" s="300"/>
      <c r="M186" s="204"/>
      <c r="N186" s="204"/>
      <c r="O186" s="204"/>
      <c r="P186" s="204"/>
      <c r="Q186" s="204"/>
      <c r="S186" s="30"/>
    </row>
    <row r="187" spans="1:22" s="22" customFormat="1" ht="21.75" customHeight="1" x14ac:dyDescent="0.25">
      <c r="A187" s="24"/>
      <c r="B187" s="25" t="s">
        <v>619</v>
      </c>
      <c r="C187" s="88" t="s">
        <v>614</v>
      </c>
      <c r="D187" s="27"/>
      <c r="E187" s="27"/>
      <c r="F187" s="27">
        <v>5800</v>
      </c>
      <c r="G187" s="27">
        <f t="shared" ref="G187" si="148">SUM(D187:F187)</f>
        <v>5800</v>
      </c>
      <c r="H187" s="27">
        <f>G187</f>
        <v>5800</v>
      </c>
      <c r="I187" s="27">
        <f t="shared" ref="I187" si="149">G187-H187</f>
        <v>0</v>
      </c>
      <c r="J187" s="27">
        <f t="shared" si="122"/>
        <v>0</v>
      </c>
      <c r="K187" s="27"/>
      <c r="L187" s="300"/>
      <c r="M187" s="204"/>
      <c r="N187" s="204"/>
      <c r="O187" s="204"/>
      <c r="P187" s="204"/>
      <c r="Q187" s="204"/>
      <c r="S187" s="30"/>
    </row>
    <row r="188" spans="1:22" s="22" customFormat="1" x14ac:dyDescent="0.25">
      <c r="A188" s="24"/>
      <c r="B188" s="25" t="s">
        <v>620</v>
      </c>
      <c r="C188" s="88" t="s">
        <v>614</v>
      </c>
      <c r="D188" s="27"/>
      <c r="E188" s="27"/>
      <c r="F188" s="27">
        <v>8000</v>
      </c>
      <c r="G188" s="27">
        <f t="shared" ref="G188:G190" si="150">SUM(D188:F188)</f>
        <v>8000</v>
      </c>
      <c r="H188" s="27">
        <f>G188</f>
        <v>8000</v>
      </c>
      <c r="I188" s="27">
        <f t="shared" ref="I188:I190" si="151">G188-H188</f>
        <v>0</v>
      </c>
      <c r="J188" s="27">
        <f t="shared" si="122"/>
        <v>0</v>
      </c>
      <c r="K188" s="27"/>
      <c r="L188" s="300"/>
      <c r="M188" s="204"/>
      <c r="N188" s="204"/>
      <c r="O188" s="204"/>
      <c r="P188" s="204"/>
      <c r="Q188" s="204"/>
      <c r="S188" s="30"/>
    </row>
    <row r="189" spans="1:22" s="22" customFormat="1" ht="31.5" x14ac:dyDescent="0.25">
      <c r="A189" s="24"/>
      <c r="B189" s="33" t="s">
        <v>673</v>
      </c>
      <c r="C189" s="88">
        <v>428</v>
      </c>
      <c r="D189" s="27"/>
      <c r="E189" s="27"/>
      <c r="F189" s="27">
        <v>24300</v>
      </c>
      <c r="G189" s="27">
        <f t="shared" si="150"/>
        <v>24300</v>
      </c>
      <c r="H189" s="27">
        <f>G189</f>
        <v>24300</v>
      </c>
      <c r="I189" s="27">
        <f t="shared" si="151"/>
        <v>0</v>
      </c>
      <c r="J189" s="27">
        <f t="shared" si="122"/>
        <v>0</v>
      </c>
      <c r="K189" s="27"/>
      <c r="L189" s="300"/>
      <c r="M189" s="204"/>
      <c r="N189" s="204"/>
      <c r="O189" s="204"/>
      <c r="P189" s="204"/>
      <c r="Q189" s="204"/>
      <c r="S189" s="30"/>
    </row>
    <row r="190" spans="1:22" s="22" customFormat="1" ht="47.25" x14ac:dyDescent="0.25">
      <c r="A190" s="24"/>
      <c r="B190" s="33" t="s">
        <v>696</v>
      </c>
      <c r="C190" s="88">
        <v>341</v>
      </c>
      <c r="D190" s="27"/>
      <c r="E190" s="27"/>
      <c r="F190" s="27">
        <v>16300</v>
      </c>
      <c r="G190" s="27">
        <f t="shared" si="150"/>
        <v>16300</v>
      </c>
      <c r="H190" s="27">
        <f>G190</f>
        <v>16300</v>
      </c>
      <c r="I190" s="27">
        <f t="shared" si="151"/>
        <v>0</v>
      </c>
      <c r="J190" s="27">
        <f t="shared" si="122"/>
        <v>0</v>
      </c>
      <c r="K190" s="27"/>
      <c r="L190" s="300" t="s">
        <v>692</v>
      </c>
      <c r="M190" s="204"/>
      <c r="N190" s="204"/>
      <c r="O190" s="204"/>
      <c r="P190" s="204"/>
      <c r="Q190" s="204"/>
      <c r="S190" s="30"/>
    </row>
    <row r="191" spans="1:22" s="22" customFormat="1" ht="31.5" x14ac:dyDescent="0.25">
      <c r="A191" s="24"/>
      <c r="B191" s="33" t="s">
        <v>697</v>
      </c>
      <c r="C191" s="88">
        <v>341</v>
      </c>
      <c r="D191" s="27"/>
      <c r="E191" s="27"/>
      <c r="F191" s="27">
        <v>41800</v>
      </c>
      <c r="G191" s="27">
        <f t="shared" ref="G191" si="152">SUM(D191:F191)</f>
        <v>41800</v>
      </c>
      <c r="H191" s="27">
        <v>27868</v>
      </c>
      <c r="I191" s="27">
        <f t="shared" ref="I191" si="153">G191-H191</f>
        <v>13932</v>
      </c>
      <c r="J191" s="27">
        <f t="shared" ref="J191" si="154">I191-K191</f>
        <v>13932</v>
      </c>
      <c r="K191" s="27"/>
      <c r="L191" s="300" t="s">
        <v>692</v>
      </c>
      <c r="M191" s="204"/>
      <c r="N191" s="204"/>
      <c r="O191" s="204"/>
      <c r="P191" s="204"/>
      <c r="Q191" s="204"/>
      <c r="S191" s="30"/>
    </row>
    <row r="192" spans="1:22" ht="16.5" x14ac:dyDescent="0.25">
      <c r="A192" s="14">
        <v>12</v>
      </c>
      <c r="B192" s="15" t="s">
        <v>82</v>
      </c>
      <c r="C192" s="15"/>
      <c r="D192" s="16">
        <f t="shared" ref="D192:Q192" si="155">SUM(D193:D200)</f>
        <v>0</v>
      </c>
      <c r="E192" s="16">
        <f t="shared" si="155"/>
        <v>166000</v>
      </c>
      <c r="F192" s="16">
        <f t="shared" si="155"/>
        <v>26700</v>
      </c>
      <c r="G192" s="318">
        <f t="shared" si="155"/>
        <v>192700</v>
      </c>
      <c r="H192" s="318">
        <f t="shared" si="155"/>
        <v>112342</v>
      </c>
      <c r="I192" s="318">
        <f t="shared" si="155"/>
        <v>80358</v>
      </c>
      <c r="J192" s="318">
        <f t="shared" si="155"/>
        <v>80348</v>
      </c>
      <c r="K192" s="318">
        <f t="shared" si="155"/>
        <v>10</v>
      </c>
      <c r="L192" s="299">
        <f t="shared" si="155"/>
        <v>0</v>
      </c>
      <c r="M192" s="16">
        <f t="shared" si="155"/>
        <v>10</v>
      </c>
      <c r="N192" s="16">
        <f t="shared" si="155"/>
        <v>0</v>
      </c>
      <c r="O192" s="16">
        <f t="shared" si="155"/>
        <v>0</v>
      </c>
      <c r="P192" s="16">
        <f t="shared" si="155"/>
        <v>0</v>
      </c>
      <c r="Q192" s="16">
        <f t="shared" si="155"/>
        <v>0</v>
      </c>
      <c r="R192" s="319">
        <f>S192-H192</f>
        <v>10870</v>
      </c>
      <c r="S192" s="131">
        <f>SUM(S193:S195)</f>
        <v>123212</v>
      </c>
      <c r="T192" s="155">
        <f>G192-SUM(D192:F192)</f>
        <v>0</v>
      </c>
      <c r="U192" s="155">
        <f>G192-H192-I192</f>
        <v>0</v>
      </c>
      <c r="V192" s="155">
        <f>I192-J192-K192</f>
        <v>0</v>
      </c>
    </row>
    <row r="193" spans="1:22" s="22" customFormat="1" ht="31.5" x14ac:dyDescent="0.25">
      <c r="A193" s="24"/>
      <c r="B193" s="25" t="s">
        <v>517</v>
      </c>
      <c r="C193" s="88">
        <v>341</v>
      </c>
      <c r="D193" s="27"/>
      <c r="E193" s="27">
        <v>70000</v>
      </c>
      <c r="F193" s="265"/>
      <c r="G193" s="265">
        <f>SUM(D193:F193)</f>
        <v>70000</v>
      </c>
      <c r="H193" s="265">
        <v>36982</v>
      </c>
      <c r="I193" s="265">
        <f>G193-H193</f>
        <v>33018</v>
      </c>
      <c r="J193" s="27">
        <f t="shared" si="122"/>
        <v>33018</v>
      </c>
      <c r="K193" s="27"/>
      <c r="L193" s="300"/>
      <c r="M193" s="204"/>
      <c r="N193" s="204"/>
      <c r="O193" s="204"/>
      <c r="P193" s="204"/>
      <c r="Q193" s="204"/>
      <c r="R193" s="22">
        <v>341</v>
      </c>
      <c r="S193" s="30">
        <v>96512</v>
      </c>
    </row>
    <row r="194" spans="1:22" s="22" customFormat="1" x14ac:dyDescent="0.25">
      <c r="A194" s="24"/>
      <c r="B194" s="25" t="s">
        <v>83</v>
      </c>
      <c r="C194" s="88">
        <v>341</v>
      </c>
      <c r="D194" s="27"/>
      <c r="E194" s="27">
        <v>7650</v>
      </c>
      <c r="F194" s="265"/>
      <c r="G194" s="265">
        <f t="shared" ref="G194:G198" si="156">SUM(D194:F194)</f>
        <v>7650</v>
      </c>
      <c r="H194" s="265"/>
      <c r="I194" s="265">
        <f t="shared" ref="I194:I198" si="157">G194-H194</f>
        <v>7650</v>
      </c>
      <c r="J194" s="27">
        <f t="shared" si="122"/>
        <v>7650</v>
      </c>
      <c r="K194" s="27"/>
      <c r="L194" s="300"/>
      <c r="M194" s="204"/>
      <c r="N194" s="204"/>
      <c r="O194" s="204"/>
      <c r="P194" s="204"/>
      <c r="Q194" s="204"/>
      <c r="R194" s="139" t="s">
        <v>614</v>
      </c>
      <c r="S194" s="30">
        <v>16700</v>
      </c>
    </row>
    <row r="195" spans="1:22" s="22" customFormat="1" x14ac:dyDescent="0.25">
      <c r="A195" s="24"/>
      <c r="B195" s="25" t="s">
        <v>84</v>
      </c>
      <c r="C195" s="88">
        <v>341</v>
      </c>
      <c r="D195" s="27"/>
      <c r="E195" s="27">
        <f>80*22*12</f>
        <v>21120</v>
      </c>
      <c r="F195" s="265"/>
      <c r="G195" s="265">
        <f t="shared" si="156"/>
        <v>21120</v>
      </c>
      <c r="H195" s="265">
        <v>11440</v>
      </c>
      <c r="I195" s="265">
        <f t="shared" si="157"/>
        <v>9680</v>
      </c>
      <c r="J195" s="27">
        <f t="shared" si="122"/>
        <v>9680</v>
      </c>
      <c r="K195" s="27"/>
      <c r="L195" s="300"/>
      <c r="M195" s="204"/>
      <c r="N195" s="204"/>
      <c r="O195" s="204"/>
      <c r="P195" s="204"/>
      <c r="Q195" s="204"/>
      <c r="R195" s="22">
        <v>428</v>
      </c>
      <c r="S195" s="30">
        <v>10000</v>
      </c>
    </row>
    <row r="196" spans="1:22" s="22" customFormat="1" x14ac:dyDescent="0.25">
      <c r="A196" s="24"/>
      <c r="B196" s="25" t="s">
        <v>85</v>
      </c>
      <c r="C196" s="88">
        <v>341</v>
      </c>
      <c r="D196" s="286"/>
      <c r="E196" s="286">
        <f>ROUND(32233,-1)</f>
        <v>32230</v>
      </c>
      <c r="F196" s="286"/>
      <c r="G196" s="265">
        <f t="shared" si="156"/>
        <v>32230</v>
      </c>
      <c r="H196" s="286">
        <v>32230</v>
      </c>
      <c r="I196" s="265">
        <f t="shared" si="157"/>
        <v>0</v>
      </c>
      <c r="J196" s="27">
        <f t="shared" si="122"/>
        <v>0</v>
      </c>
      <c r="K196" s="27"/>
      <c r="L196" s="300"/>
      <c r="M196" s="204"/>
      <c r="N196" s="204"/>
      <c r="O196" s="204"/>
      <c r="P196" s="204"/>
      <c r="Q196" s="204"/>
      <c r="S196" s="30"/>
    </row>
    <row r="197" spans="1:22" s="22" customFormat="1" x14ac:dyDescent="0.25">
      <c r="A197" s="39"/>
      <c r="B197" s="41" t="s">
        <v>86</v>
      </c>
      <c r="C197" s="88">
        <v>341</v>
      </c>
      <c r="D197" s="27"/>
      <c r="E197" s="27">
        <v>30000</v>
      </c>
      <c r="F197" s="27"/>
      <c r="G197" s="265">
        <f t="shared" si="156"/>
        <v>30000</v>
      </c>
      <c r="H197" s="286"/>
      <c r="I197" s="265">
        <f t="shared" si="157"/>
        <v>30000</v>
      </c>
      <c r="J197" s="27">
        <f t="shared" si="122"/>
        <v>30000</v>
      </c>
      <c r="K197" s="27"/>
      <c r="L197" s="300"/>
      <c r="M197" s="204"/>
      <c r="N197" s="204"/>
      <c r="O197" s="204"/>
      <c r="P197" s="204"/>
      <c r="Q197" s="204"/>
      <c r="S197" s="30"/>
    </row>
    <row r="198" spans="1:22" s="22" customFormat="1" x14ac:dyDescent="0.25">
      <c r="A198" s="39"/>
      <c r="B198" s="41" t="s">
        <v>518</v>
      </c>
      <c r="C198" s="88">
        <v>341</v>
      </c>
      <c r="D198" s="27"/>
      <c r="E198" s="27">
        <v>5000</v>
      </c>
      <c r="F198" s="27"/>
      <c r="G198" s="265">
        <f t="shared" si="156"/>
        <v>5000</v>
      </c>
      <c r="H198" s="286">
        <v>4990</v>
      </c>
      <c r="I198" s="265">
        <f t="shared" si="157"/>
        <v>10</v>
      </c>
      <c r="J198" s="27">
        <f t="shared" si="122"/>
        <v>0</v>
      </c>
      <c r="K198" s="27">
        <f>I198</f>
        <v>10</v>
      </c>
      <c r="L198" s="300"/>
      <c r="M198" s="204">
        <f>K198</f>
        <v>10</v>
      </c>
      <c r="N198" s="204"/>
      <c r="O198" s="204"/>
      <c r="P198" s="204"/>
      <c r="Q198" s="204"/>
      <c r="S198" s="30"/>
    </row>
    <row r="199" spans="1:22" s="22" customFormat="1" x14ac:dyDescent="0.25">
      <c r="A199" s="39"/>
      <c r="B199" s="25" t="s">
        <v>619</v>
      </c>
      <c r="C199" s="88" t="s">
        <v>614</v>
      </c>
      <c r="D199" s="27"/>
      <c r="E199" s="27"/>
      <c r="F199" s="27">
        <v>16700</v>
      </c>
      <c r="G199" s="265">
        <f t="shared" ref="G199" si="158">SUM(D199:F199)</f>
        <v>16700</v>
      </c>
      <c r="H199" s="286">
        <f>G199</f>
        <v>16700</v>
      </c>
      <c r="I199" s="265">
        <f t="shared" ref="I199" si="159">G199-H199</f>
        <v>0</v>
      </c>
      <c r="J199" s="27">
        <f t="shared" ref="J199" si="160">I199-K199</f>
        <v>0</v>
      </c>
      <c r="K199" s="27"/>
      <c r="L199" s="300"/>
      <c r="M199" s="204"/>
      <c r="N199" s="204"/>
      <c r="O199" s="204"/>
      <c r="P199" s="204"/>
      <c r="Q199" s="204"/>
      <c r="S199" s="30"/>
    </row>
    <row r="200" spans="1:22" s="22" customFormat="1" ht="47.25" x14ac:dyDescent="0.25">
      <c r="A200" s="39"/>
      <c r="B200" s="25" t="s">
        <v>672</v>
      </c>
      <c r="C200" s="88">
        <v>428</v>
      </c>
      <c r="D200" s="27"/>
      <c r="E200" s="27"/>
      <c r="F200" s="27">
        <v>10000</v>
      </c>
      <c r="G200" s="265">
        <f t="shared" ref="G200" si="161">SUM(D200:F200)</f>
        <v>10000</v>
      </c>
      <c r="H200" s="286">
        <f>G200</f>
        <v>10000</v>
      </c>
      <c r="I200" s="265">
        <f t="shared" ref="I200" si="162">G200-H200</f>
        <v>0</v>
      </c>
      <c r="J200" s="27">
        <f t="shared" ref="J200" si="163">I200-K200</f>
        <v>0</v>
      </c>
      <c r="K200" s="27"/>
      <c r="L200" s="300"/>
      <c r="M200" s="204"/>
      <c r="N200" s="204"/>
      <c r="O200" s="204"/>
      <c r="P200" s="204"/>
      <c r="Q200" s="204"/>
      <c r="S200" s="30"/>
    </row>
    <row r="201" spans="1:22" ht="16.5" x14ac:dyDescent="0.25">
      <c r="A201" s="48" t="s">
        <v>87</v>
      </c>
      <c r="B201" s="49" t="s">
        <v>88</v>
      </c>
      <c r="C201" s="49"/>
      <c r="D201" s="50">
        <f t="shared" ref="D201:Q201" si="164">D202+D223+D240+D261+D280+D299</f>
        <v>0</v>
      </c>
      <c r="E201" s="50">
        <f t="shared" si="164"/>
        <v>1458540</v>
      </c>
      <c r="F201" s="50">
        <f t="shared" si="164"/>
        <v>930900</v>
      </c>
      <c r="G201" s="50">
        <f t="shared" si="164"/>
        <v>2389440</v>
      </c>
      <c r="H201" s="50">
        <f t="shared" si="164"/>
        <v>1195017</v>
      </c>
      <c r="I201" s="50">
        <f t="shared" si="164"/>
        <v>1194423</v>
      </c>
      <c r="J201" s="50">
        <f t="shared" si="164"/>
        <v>1158423</v>
      </c>
      <c r="K201" s="50">
        <f t="shared" si="164"/>
        <v>36000</v>
      </c>
      <c r="L201" s="303">
        <f t="shared" si="164"/>
        <v>0</v>
      </c>
      <c r="M201" s="50">
        <f t="shared" si="164"/>
        <v>36000</v>
      </c>
      <c r="N201" s="50">
        <f t="shared" si="164"/>
        <v>0</v>
      </c>
      <c r="O201" s="50">
        <f t="shared" si="164"/>
        <v>0</v>
      </c>
      <c r="P201" s="50">
        <f t="shared" si="164"/>
        <v>0</v>
      </c>
      <c r="Q201" s="50">
        <f t="shared" si="164"/>
        <v>0</v>
      </c>
      <c r="R201" s="8"/>
      <c r="T201" s="155">
        <f>G201-SUM(D201:F201)</f>
        <v>0</v>
      </c>
      <c r="U201" s="155">
        <f>G201-H201-I201</f>
        <v>0</v>
      </c>
      <c r="V201" s="155">
        <f>I201-J201-K201</f>
        <v>0</v>
      </c>
    </row>
    <row r="202" spans="1:22" ht="16.5" x14ac:dyDescent="0.25">
      <c r="A202" s="14">
        <v>1</v>
      </c>
      <c r="B202" s="15" t="s">
        <v>89</v>
      </c>
      <c r="C202" s="15"/>
      <c r="D202" s="16">
        <f t="shared" ref="D202:Q202" si="165">SUM(D203:D222)</f>
        <v>0</v>
      </c>
      <c r="E202" s="16">
        <f t="shared" si="165"/>
        <v>603740</v>
      </c>
      <c r="F202" s="16">
        <f t="shared" si="165"/>
        <v>168000</v>
      </c>
      <c r="G202" s="318">
        <f t="shared" si="165"/>
        <v>771740</v>
      </c>
      <c r="H202" s="318">
        <f t="shared" si="165"/>
        <v>413597</v>
      </c>
      <c r="I202" s="318">
        <f t="shared" si="165"/>
        <v>358143</v>
      </c>
      <c r="J202" s="318">
        <f t="shared" si="165"/>
        <v>358143</v>
      </c>
      <c r="K202" s="318">
        <f t="shared" si="165"/>
        <v>0</v>
      </c>
      <c r="L202" s="299">
        <f t="shared" si="165"/>
        <v>0</v>
      </c>
      <c r="M202" s="16">
        <f t="shared" si="165"/>
        <v>0</v>
      </c>
      <c r="N202" s="16">
        <f t="shared" si="165"/>
        <v>0</v>
      </c>
      <c r="O202" s="16">
        <f t="shared" si="165"/>
        <v>0</v>
      </c>
      <c r="P202" s="16">
        <f t="shared" si="165"/>
        <v>0</v>
      </c>
      <c r="Q202" s="16">
        <f t="shared" si="165"/>
        <v>0</v>
      </c>
      <c r="R202" s="319">
        <f>S202-H202</f>
        <v>-7720</v>
      </c>
      <c r="S202" s="131">
        <f>SUM(S203:S205)</f>
        <v>405877</v>
      </c>
      <c r="T202" s="155">
        <f>G202-SUM(D202:F202)</f>
        <v>0</v>
      </c>
      <c r="U202" s="155">
        <f>G202-H202-I202</f>
        <v>0</v>
      </c>
      <c r="V202" s="155">
        <f>I202-J202-K202</f>
        <v>0</v>
      </c>
    </row>
    <row r="203" spans="1:22" s="22" customFormat="1" x14ac:dyDescent="0.25">
      <c r="A203" s="24"/>
      <c r="B203" s="25" t="s">
        <v>90</v>
      </c>
      <c r="C203" s="88">
        <v>361</v>
      </c>
      <c r="D203" s="27"/>
      <c r="E203" s="27">
        <v>36400</v>
      </c>
      <c r="F203" s="27"/>
      <c r="G203" s="27">
        <f>SUM(D203:F203)</f>
        <v>36400</v>
      </c>
      <c r="H203" s="27">
        <v>14011</v>
      </c>
      <c r="I203" s="27">
        <f>G203-H203</f>
        <v>22389</v>
      </c>
      <c r="J203" s="27">
        <f t="shared" ref="J203:J266" si="166">I203-K203</f>
        <v>22389</v>
      </c>
      <c r="K203" s="27"/>
      <c r="L203" s="300"/>
      <c r="M203" s="204"/>
      <c r="N203" s="204"/>
      <c r="O203" s="204"/>
      <c r="P203" s="204"/>
      <c r="Q203" s="204"/>
      <c r="R203" s="166">
        <v>278</v>
      </c>
      <c r="S203" s="30">
        <v>0</v>
      </c>
    </row>
    <row r="204" spans="1:22" s="22" customFormat="1" x14ac:dyDescent="0.25">
      <c r="A204" s="24"/>
      <c r="B204" s="41" t="s">
        <v>519</v>
      </c>
      <c r="C204" s="88">
        <v>361</v>
      </c>
      <c r="D204" s="27"/>
      <c r="E204" s="27">
        <v>30240</v>
      </c>
      <c r="F204" s="27"/>
      <c r="G204" s="27">
        <f t="shared" ref="G204:G221" si="167">SUM(D204:F204)</f>
        <v>30240</v>
      </c>
      <c r="H204" s="27">
        <v>15240</v>
      </c>
      <c r="I204" s="27">
        <f t="shared" ref="I204:I222" si="168">G204-H204</f>
        <v>15000</v>
      </c>
      <c r="J204" s="27">
        <f t="shared" si="166"/>
        <v>15000</v>
      </c>
      <c r="K204" s="27"/>
      <c r="L204" s="300"/>
      <c r="M204" s="204"/>
      <c r="N204" s="204"/>
      <c r="O204" s="204"/>
      <c r="P204" s="204"/>
      <c r="Q204" s="204"/>
      <c r="R204" s="166">
        <v>281</v>
      </c>
      <c r="S204" s="30">
        <v>0</v>
      </c>
    </row>
    <row r="205" spans="1:22" s="22" customFormat="1" x14ac:dyDescent="0.25">
      <c r="A205" s="24"/>
      <c r="B205" s="25" t="s">
        <v>91</v>
      </c>
      <c r="C205" s="88">
        <v>361</v>
      </c>
      <c r="D205" s="27"/>
      <c r="E205" s="27">
        <v>9000</v>
      </c>
      <c r="F205" s="27"/>
      <c r="G205" s="27">
        <f t="shared" si="167"/>
        <v>9000</v>
      </c>
      <c r="H205" s="27">
        <f>G205</f>
        <v>9000</v>
      </c>
      <c r="I205" s="27">
        <f t="shared" si="168"/>
        <v>0</v>
      </c>
      <c r="J205" s="27">
        <f t="shared" si="166"/>
        <v>0</v>
      </c>
      <c r="K205" s="27"/>
      <c r="L205" s="300"/>
      <c r="M205" s="204"/>
      <c r="N205" s="204"/>
      <c r="O205" s="204"/>
      <c r="P205" s="204"/>
      <c r="Q205" s="204"/>
      <c r="R205" s="166">
        <v>361</v>
      </c>
      <c r="S205" s="30">
        <v>405877</v>
      </c>
    </row>
    <row r="206" spans="1:22" s="22" customFormat="1" x14ac:dyDescent="0.25">
      <c r="A206" s="24"/>
      <c r="B206" s="25" t="s">
        <v>92</v>
      </c>
      <c r="C206" s="88">
        <v>361</v>
      </c>
      <c r="D206" s="27"/>
      <c r="E206" s="27">
        <v>9000</v>
      </c>
      <c r="F206" s="27"/>
      <c r="G206" s="27">
        <f t="shared" si="167"/>
        <v>9000</v>
      </c>
      <c r="H206" s="27">
        <f>G206</f>
        <v>9000</v>
      </c>
      <c r="I206" s="27">
        <f t="shared" si="168"/>
        <v>0</v>
      </c>
      <c r="J206" s="27">
        <f t="shared" si="166"/>
        <v>0</v>
      </c>
      <c r="K206" s="27"/>
      <c r="L206" s="300"/>
      <c r="M206" s="204"/>
      <c r="N206" s="204"/>
      <c r="O206" s="204"/>
      <c r="P206" s="204"/>
      <c r="Q206" s="204"/>
    </row>
    <row r="207" spans="1:22" s="22" customFormat="1" ht="31.5" x14ac:dyDescent="0.25">
      <c r="A207" s="24"/>
      <c r="B207" s="25" t="s">
        <v>93</v>
      </c>
      <c r="C207" s="88">
        <v>361</v>
      </c>
      <c r="D207" s="27"/>
      <c r="E207" s="27">
        <v>9000</v>
      </c>
      <c r="F207" s="27"/>
      <c r="G207" s="27">
        <f t="shared" si="167"/>
        <v>9000</v>
      </c>
      <c r="H207" s="27">
        <f>G207</f>
        <v>9000</v>
      </c>
      <c r="I207" s="27">
        <f t="shared" si="168"/>
        <v>0</v>
      </c>
      <c r="J207" s="27">
        <f t="shared" si="166"/>
        <v>0</v>
      </c>
      <c r="K207" s="27"/>
      <c r="L207" s="300"/>
      <c r="M207" s="204"/>
      <c r="N207" s="204"/>
      <c r="O207" s="204"/>
      <c r="P207" s="204"/>
      <c r="Q207" s="204"/>
      <c r="R207" s="166"/>
      <c r="S207" s="30"/>
    </row>
    <row r="208" spans="1:22" s="22" customFormat="1" ht="47.25" x14ac:dyDescent="0.25">
      <c r="A208" s="24"/>
      <c r="B208" s="25" t="s">
        <v>520</v>
      </c>
      <c r="C208" s="88">
        <v>361</v>
      </c>
      <c r="D208" s="27"/>
      <c r="E208" s="27">
        <v>42000</v>
      </c>
      <c r="F208" s="27"/>
      <c r="G208" s="27">
        <f t="shared" si="167"/>
        <v>42000</v>
      </c>
      <c r="H208" s="27">
        <v>31606</v>
      </c>
      <c r="I208" s="27">
        <f t="shared" si="168"/>
        <v>10394</v>
      </c>
      <c r="J208" s="27">
        <f t="shared" si="166"/>
        <v>10394</v>
      </c>
      <c r="K208" s="27"/>
      <c r="L208" s="300"/>
      <c r="M208" s="204"/>
      <c r="N208" s="204"/>
      <c r="O208" s="204"/>
      <c r="P208" s="204"/>
      <c r="Q208" s="204"/>
      <c r="R208" s="51"/>
      <c r="S208" s="30"/>
    </row>
    <row r="209" spans="1:22" s="22" customFormat="1" x14ac:dyDescent="0.25">
      <c r="A209" s="24"/>
      <c r="B209" s="41" t="s">
        <v>97</v>
      </c>
      <c r="C209" s="88">
        <v>361</v>
      </c>
      <c r="D209" s="27"/>
      <c r="E209" s="27">
        <v>70000</v>
      </c>
      <c r="F209" s="27"/>
      <c r="G209" s="27">
        <f t="shared" si="167"/>
        <v>70000</v>
      </c>
      <c r="H209" s="27">
        <f>G209</f>
        <v>70000</v>
      </c>
      <c r="I209" s="27">
        <f t="shared" si="168"/>
        <v>0</v>
      </c>
      <c r="J209" s="27">
        <f t="shared" si="166"/>
        <v>0</v>
      </c>
      <c r="K209" s="27"/>
      <c r="L209" s="300"/>
      <c r="M209" s="204"/>
      <c r="N209" s="204"/>
      <c r="O209" s="204"/>
      <c r="P209" s="204"/>
      <c r="Q209" s="204"/>
      <c r="R209" s="52"/>
      <c r="S209" s="30"/>
    </row>
    <row r="210" spans="1:22" s="22" customFormat="1" x14ac:dyDescent="0.25">
      <c r="A210" s="24"/>
      <c r="B210" s="41" t="s">
        <v>98</v>
      </c>
      <c r="C210" s="88">
        <v>361</v>
      </c>
      <c r="D210" s="27"/>
      <c r="E210" s="27">
        <v>10000</v>
      </c>
      <c r="F210" s="27"/>
      <c r="G210" s="27">
        <f t="shared" si="167"/>
        <v>10000</v>
      </c>
      <c r="H210" s="27">
        <v>5740</v>
      </c>
      <c r="I210" s="27">
        <f t="shared" si="168"/>
        <v>4260</v>
      </c>
      <c r="J210" s="27">
        <f t="shared" si="166"/>
        <v>4260</v>
      </c>
      <c r="K210" s="27"/>
      <c r="L210" s="300"/>
      <c r="M210" s="204"/>
      <c r="N210" s="204"/>
      <c r="O210" s="204"/>
      <c r="P210" s="204"/>
      <c r="Q210" s="204"/>
      <c r="R210" s="52"/>
      <c r="S210" s="30"/>
    </row>
    <row r="211" spans="1:22" s="22" customFormat="1" ht="63" x14ac:dyDescent="0.25">
      <c r="A211" s="24"/>
      <c r="B211" s="25" t="s">
        <v>94</v>
      </c>
      <c r="C211" s="88">
        <v>361</v>
      </c>
      <c r="D211" s="27"/>
      <c r="E211" s="27">
        <v>140000</v>
      </c>
      <c r="F211" s="27"/>
      <c r="G211" s="27">
        <f t="shared" si="167"/>
        <v>140000</v>
      </c>
      <c r="H211" s="27">
        <v>56000</v>
      </c>
      <c r="I211" s="27">
        <f t="shared" si="168"/>
        <v>84000</v>
      </c>
      <c r="J211" s="27">
        <f t="shared" si="166"/>
        <v>84000</v>
      </c>
      <c r="K211" s="27"/>
      <c r="L211" s="300"/>
      <c r="M211" s="204"/>
      <c r="N211" s="204"/>
      <c r="O211" s="204"/>
      <c r="P211" s="204"/>
      <c r="Q211" s="204"/>
      <c r="R211" s="51"/>
      <c r="S211" s="30"/>
    </row>
    <row r="212" spans="1:22" s="22" customFormat="1" ht="47.25" x14ac:dyDescent="0.25">
      <c r="A212" s="24"/>
      <c r="B212" s="25" t="s">
        <v>521</v>
      </c>
      <c r="C212" s="88">
        <v>361</v>
      </c>
      <c r="D212" s="27"/>
      <c r="E212" s="27">
        <f>13500+(5*0.6+10*0.3)*1800</f>
        <v>24300</v>
      </c>
      <c r="F212" s="27"/>
      <c r="G212" s="27">
        <f t="shared" si="167"/>
        <v>24300</v>
      </c>
      <c r="H212" s="27">
        <v>14300</v>
      </c>
      <c r="I212" s="27">
        <f t="shared" si="168"/>
        <v>10000</v>
      </c>
      <c r="J212" s="27">
        <f t="shared" si="166"/>
        <v>10000</v>
      </c>
      <c r="K212" s="27"/>
      <c r="L212" s="300"/>
      <c r="M212" s="204"/>
      <c r="N212" s="204"/>
      <c r="O212" s="204"/>
      <c r="P212" s="204"/>
      <c r="Q212" s="204"/>
      <c r="R212" s="350"/>
      <c r="S212" s="350"/>
    </row>
    <row r="213" spans="1:22" s="22" customFormat="1" ht="31.5" x14ac:dyDescent="0.25">
      <c r="A213" s="24"/>
      <c r="B213" s="266" t="s">
        <v>522</v>
      </c>
      <c r="C213" s="88">
        <v>361</v>
      </c>
      <c r="D213" s="27"/>
      <c r="E213" s="27">
        <v>15000</v>
      </c>
      <c r="F213" s="27"/>
      <c r="G213" s="27">
        <f t="shared" si="167"/>
        <v>15000</v>
      </c>
      <c r="H213" s="27">
        <f>G213</f>
        <v>15000</v>
      </c>
      <c r="I213" s="27">
        <f t="shared" si="168"/>
        <v>0</v>
      </c>
      <c r="J213" s="27">
        <f t="shared" si="166"/>
        <v>0</v>
      </c>
      <c r="K213" s="27"/>
      <c r="L213" s="300"/>
      <c r="M213" s="204"/>
      <c r="N213" s="204"/>
      <c r="O213" s="204"/>
      <c r="P213" s="204"/>
      <c r="Q213" s="204"/>
      <c r="R213" s="51"/>
      <c r="S213" s="30"/>
    </row>
    <row r="214" spans="1:22" s="22" customFormat="1" ht="31.5" x14ac:dyDescent="0.25">
      <c r="A214" s="24"/>
      <c r="B214" s="41" t="s">
        <v>523</v>
      </c>
      <c r="C214" s="88">
        <v>361</v>
      </c>
      <c r="D214" s="27"/>
      <c r="E214" s="27">
        <v>13500</v>
      </c>
      <c r="F214" s="27"/>
      <c r="G214" s="27">
        <f t="shared" si="167"/>
        <v>13500</v>
      </c>
      <c r="H214" s="27">
        <v>4700</v>
      </c>
      <c r="I214" s="27">
        <f t="shared" si="168"/>
        <v>8800</v>
      </c>
      <c r="J214" s="27">
        <f t="shared" si="166"/>
        <v>8800</v>
      </c>
      <c r="K214" s="27"/>
      <c r="L214" s="300"/>
      <c r="M214" s="204"/>
      <c r="N214" s="204"/>
      <c r="O214" s="204"/>
      <c r="P214" s="204"/>
      <c r="Q214" s="204"/>
      <c r="R214" s="51"/>
      <c r="S214" s="30"/>
    </row>
    <row r="215" spans="1:22" s="22" customFormat="1" x14ac:dyDescent="0.25">
      <c r="A215" s="24"/>
      <c r="B215" s="35" t="s">
        <v>95</v>
      </c>
      <c r="C215" s="88">
        <v>361</v>
      </c>
      <c r="D215" s="27"/>
      <c r="E215" s="27">
        <v>10000</v>
      </c>
      <c r="F215" s="27"/>
      <c r="G215" s="27">
        <f t="shared" si="167"/>
        <v>10000</v>
      </c>
      <c r="H215" s="27"/>
      <c r="I215" s="27">
        <f t="shared" si="168"/>
        <v>10000</v>
      </c>
      <c r="J215" s="27">
        <f t="shared" si="166"/>
        <v>10000</v>
      </c>
      <c r="K215" s="27"/>
      <c r="L215" s="300"/>
      <c r="M215" s="204"/>
      <c r="N215" s="204"/>
      <c r="O215" s="204"/>
      <c r="P215" s="204"/>
      <c r="Q215" s="204"/>
      <c r="R215" s="51"/>
      <c r="S215" s="30"/>
    </row>
    <row r="216" spans="1:22" s="22" customFormat="1" ht="31.5" x14ac:dyDescent="0.25">
      <c r="A216" s="24"/>
      <c r="B216" s="41" t="s">
        <v>96</v>
      </c>
      <c r="C216" s="88">
        <v>361</v>
      </c>
      <c r="D216" s="27"/>
      <c r="E216" s="27">
        <v>4500</v>
      </c>
      <c r="F216" s="27"/>
      <c r="G216" s="27">
        <f t="shared" si="167"/>
        <v>4500</v>
      </c>
      <c r="H216" s="27"/>
      <c r="I216" s="27">
        <f t="shared" si="168"/>
        <v>4500</v>
      </c>
      <c r="J216" s="27">
        <f t="shared" si="166"/>
        <v>4500</v>
      </c>
      <c r="K216" s="27"/>
      <c r="L216" s="300"/>
      <c r="M216" s="204"/>
      <c r="N216" s="204"/>
      <c r="O216" s="204"/>
      <c r="P216" s="204"/>
      <c r="Q216" s="204"/>
      <c r="R216" s="51"/>
      <c r="S216" s="30"/>
    </row>
    <row r="217" spans="1:22" s="22" customFormat="1" ht="31.5" x14ac:dyDescent="0.25">
      <c r="A217" s="24"/>
      <c r="B217" s="41" t="s">
        <v>524</v>
      </c>
      <c r="C217" s="88">
        <v>361</v>
      </c>
      <c r="D217" s="27"/>
      <c r="E217" s="27">
        <f>(0.15*2+0.1*2)*1800*12</f>
        <v>10800</v>
      </c>
      <c r="F217" s="27"/>
      <c r="G217" s="27">
        <f t="shared" si="167"/>
        <v>10800</v>
      </c>
      <c r="H217" s="27"/>
      <c r="I217" s="27">
        <f t="shared" si="168"/>
        <v>10800</v>
      </c>
      <c r="J217" s="27">
        <f t="shared" si="166"/>
        <v>10800</v>
      </c>
      <c r="K217" s="27"/>
      <c r="L217" s="300"/>
      <c r="M217" s="204"/>
      <c r="N217" s="204"/>
      <c r="O217" s="204"/>
      <c r="P217" s="204"/>
      <c r="Q217" s="204"/>
      <c r="R217" s="51"/>
      <c r="S217" s="30"/>
    </row>
    <row r="218" spans="1:22" s="22" customFormat="1" ht="31.5" x14ac:dyDescent="0.25">
      <c r="A218" s="24"/>
      <c r="B218" s="41" t="s">
        <v>525</v>
      </c>
      <c r="C218" s="88">
        <v>361</v>
      </c>
      <c r="D218" s="27"/>
      <c r="E218" s="27">
        <v>10000</v>
      </c>
      <c r="F218" s="27"/>
      <c r="G218" s="27">
        <f t="shared" si="167"/>
        <v>10000</v>
      </c>
      <c r="H218" s="27"/>
      <c r="I218" s="27">
        <f t="shared" si="168"/>
        <v>10000</v>
      </c>
      <c r="J218" s="27">
        <f t="shared" si="166"/>
        <v>10000</v>
      </c>
      <c r="K218" s="27"/>
      <c r="L218" s="300"/>
      <c r="M218" s="204"/>
      <c r="N218" s="204"/>
      <c r="O218" s="204"/>
      <c r="P218" s="204"/>
      <c r="Q218" s="204"/>
      <c r="R218" s="51"/>
      <c r="S218" s="30"/>
    </row>
    <row r="219" spans="1:22" s="22" customFormat="1" ht="31.5" x14ac:dyDescent="0.25">
      <c r="A219" s="24"/>
      <c r="B219" s="41" t="s">
        <v>526</v>
      </c>
      <c r="C219" s="88">
        <v>361</v>
      </c>
      <c r="D219" s="27"/>
      <c r="E219" s="27">
        <v>150000</v>
      </c>
      <c r="F219" s="27"/>
      <c r="G219" s="27">
        <f t="shared" si="167"/>
        <v>150000</v>
      </c>
      <c r="H219" s="27">
        <f>G219</f>
        <v>150000</v>
      </c>
      <c r="I219" s="27">
        <f t="shared" si="168"/>
        <v>0</v>
      </c>
      <c r="J219" s="27">
        <f t="shared" si="166"/>
        <v>0</v>
      </c>
      <c r="K219" s="27"/>
      <c r="L219" s="300"/>
      <c r="M219" s="204"/>
      <c r="N219" s="204"/>
      <c r="O219" s="204"/>
      <c r="P219" s="204"/>
      <c r="Q219" s="204"/>
      <c r="R219" s="51"/>
      <c r="S219" s="30"/>
    </row>
    <row r="220" spans="1:22" s="22" customFormat="1" x14ac:dyDescent="0.25">
      <c r="A220" s="24"/>
      <c r="B220" s="41" t="s">
        <v>527</v>
      </c>
      <c r="C220" s="88">
        <v>361</v>
      </c>
      <c r="D220" s="27"/>
      <c r="E220" s="27">
        <v>10000</v>
      </c>
      <c r="F220" s="27"/>
      <c r="G220" s="27">
        <f t="shared" si="167"/>
        <v>10000</v>
      </c>
      <c r="H220" s="27">
        <f>G220</f>
        <v>10000</v>
      </c>
      <c r="I220" s="27">
        <f t="shared" si="168"/>
        <v>0</v>
      </c>
      <c r="J220" s="27">
        <f t="shared" si="166"/>
        <v>0</v>
      </c>
      <c r="K220" s="27"/>
      <c r="L220" s="300"/>
      <c r="M220" s="204"/>
      <c r="N220" s="204"/>
      <c r="O220" s="204"/>
      <c r="P220" s="204"/>
      <c r="Q220" s="204"/>
      <c r="R220" s="51"/>
      <c r="S220" s="30"/>
    </row>
    <row r="221" spans="1:22" s="22" customFormat="1" ht="31.5" x14ac:dyDescent="0.25">
      <c r="A221" s="24"/>
      <c r="B221" s="41" t="s">
        <v>632</v>
      </c>
      <c r="C221" s="88">
        <v>281</v>
      </c>
      <c r="D221" s="27"/>
      <c r="E221" s="27"/>
      <c r="F221" s="27">
        <v>144000</v>
      </c>
      <c r="G221" s="27">
        <f t="shared" si="167"/>
        <v>144000</v>
      </c>
      <c r="H221" s="27">
        <v>0</v>
      </c>
      <c r="I221" s="27">
        <f t="shared" si="168"/>
        <v>144000</v>
      </c>
      <c r="J221" s="27">
        <f t="shared" si="166"/>
        <v>144000</v>
      </c>
      <c r="K221" s="27"/>
      <c r="L221" s="300"/>
      <c r="M221" s="204"/>
      <c r="N221" s="204"/>
      <c r="O221" s="204"/>
      <c r="P221" s="204"/>
      <c r="Q221" s="204"/>
      <c r="R221" s="51"/>
      <c r="S221" s="30"/>
    </row>
    <row r="222" spans="1:22" s="22" customFormat="1" ht="31.5" x14ac:dyDescent="0.25">
      <c r="A222" s="24"/>
      <c r="B222" s="41" t="s">
        <v>660</v>
      </c>
      <c r="C222" s="88">
        <v>278</v>
      </c>
      <c r="D222" s="27"/>
      <c r="E222" s="27"/>
      <c r="F222" s="27">
        <v>24000</v>
      </c>
      <c r="G222" s="27">
        <f t="shared" ref="G222" si="169">SUM(D222:F222)</f>
        <v>24000</v>
      </c>
      <c r="H222" s="27">
        <v>0</v>
      </c>
      <c r="I222" s="27">
        <f t="shared" si="168"/>
        <v>24000</v>
      </c>
      <c r="J222" s="27">
        <f t="shared" si="166"/>
        <v>24000</v>
      </c>
      <c r="K222" s="27"/>
      <c r="L222" s="300"/>
      <c r="M222" s="204"/>
      <c r="N222" s="204"/>
      <c r="O222" s="204"/>
      <c r="P222" s="204"/>
      <c r="Q222" s="204"/>
      <c r="R222" s="51"/>
      <c r="S222" s="30"/>
    </row>
    <row r="223" spans="1:22" ht="16.5" x14ac:dyDescent="0.25">
      <c r="A223" s="14">
        <v>2</v>
      </c>
      <c r="B223" s="15" t="s">
        <v>99</v>
      </c>
      <c r="C223" s="15"/>
      <c r="D223" s="16">
        <f t="shared" ref="D223:Q223" si="170">SUM(D224:D239)</f>
        <v>0</v>
      </c>
      <c r="E223" s="16">
        <f t="shared" si="170"/>
        <v>366000</v>
      </c>
      <c r="F223" s="16">
        <f t="shared" si="170"/>
        <v>120500</v>
      </c>
      <c r="G223" s="318">
        <f t="shared" si="170"/>
        <v>486500</v>
      </c>
      <c r="H223" s="318">
        <f t="shared" si="170"/>
        <v>206115</v>
      </c>
      <c r="I223" s="318">
        <f t="shared" si="170"/>
        <v>280385</v>
      </c>
      <c r="J223" s="318">
        <f t="shared" si="170"/>
        <v>280385</v>
      </c>
      <c r="K223" s="318">
        <f t="shared" si="170"/>
        <v>0</v>
      </c>
      <c r="L223" s="299">
        <f t="shared" si="170"/>
        <v>0</v>
      </c>
      <c r="M223" s="16">
        <f t="shared" si="170"/>
        <v>0</v>
      </c>
      <c r="N223" s="16">
        <f t="shared" si="170"/>
        <v>0</v>
      </c>
      <c r="O223" s="16">
        <f t="shared" si="170"/>
        <v>0</v>
      </c>
      <c r="P223" s="16">
        <f t="shared" si="170"/>
        <v>0</v>
      </c>
      <c r="Q223" s="16">
        <f t="shared" si="170"/>
        <v>0</v>
      </c>
      <c r="R223" s="319">
        <f>S223-H223</f>
        <v>-25500</v>
      </c>
      <c r="S223" s="131">
        <f>SUM(S224:S228)</f>
        <v>180615</v>
      </c>
      <c r="T223" s="155">
        <f>G223-SUM(D223:F223)</f>
        <v>0</v>
      </c>
      <c r="U223" s="155">
        <f>G223-H223-I223</f>
        <v>0</v>
      </c>
      <c r="V223" s="155">
        <f>I223-J223-K223</f>
        <v>0</v>
      </c>
    </row>
    <row r="224" spans="1:22" s="22" customFormat="1" ht="94.5" x14ac:dyDescent="0.25">
      <c r="A224" s="24"/>
      <c r="B224" s="25" t="s">
        <v>528</v>
      </c>
      <c r="C224" s="88">
        <v>361</v>
      </c>
      <c r="D224" s="27"/>
      <c r="E224" s="27">
        <f>50000+35000+25000</f>
        <v>110000</v>
      </c>
      <c r="F224" s="27"/>
      <c r="G224" s="27">
        <f>SUM(D224:F224)</f>
        <v>110000</v>
      </c>
      <c r="H224" s="27">
        <v>25000</v>
      </c>
      <c r="I224" s="27">
        <f>G224-H224</f>
        <v>85000</v>
      </c>
      <c r="J224" s="27">
        <f t="shared" si="166"/>
        <v>85000</v>
      </c>
      <c r="K224" s="27"/>
      <c r="L224" s="300"/>
      <c r="M224" s="204"/>
      <c r="N224" s="204"/>
      <c r="O224" s="204"/>
      <c r="P224" s="204"/>
      <c r="Q224" s="204"/>
      <c r="R224" s="22">
        <v>278</v>
      </c>
      <c r="S224" s="30">
        <v>0</v>
      </c>
    </row>
    <row r="225" spans="1:22" s="22" customFormat="1" ht="31.5" x14ac:dyDescent="0.25">
      <c r="A225" s="24"/>
      <c r="B225" s="25" t="s">
        <v>529</v>
      </c>
      <c r="C225" s="88">
        <v>361</v>
      </c>
      <c r="D225" s="27"/>
      <c r="E225" s="27">
        <f>15000+20000</f>
        <v>35000</v>
      </c>
      <c r="F225" s="27"/>
      <c r="G225" s="27">
        <f t="shared" ref="G225:G237" si="171">SUM(D225:F225)</f>
        <v>35000</v>
      </c>
      <c r="H225" s="27"/>
      <c r="I225" s="27">
        <f t="shared" ref="I225:I239" si="172">G225-H225</f>
        <v>35000</v>
      </c>
      <c r="J225" s="27">
        <f t="shared" si="166"/>
        <v>35000</v>
      </c>
      <c r="K225" s="27"/>
      <c r="L225" s="300"/>
      <c r="M225" s="204"/>
      <c r="N225" s="204"/>
      <c r="O225" s="204"/>
      <c r="P225" s="204"/>
      <c r="Q225" s="204"/>
      <c r="R225" s="22">
        <v>281</v>
      </c>
      <c r="S225" s="30">
        <v>0</v>
      </c>
    </row>
    <row r="226" spans="1:22" s="22" customFormat="1" x14ac:dyDescent="0.25">
      <c r="A226" s="24"/>
      <c r="B226" s="25" t="s">
        <v>530</v>
      </c>
      <c r="C226" s="88">
        <v>361</v>
      </c>
      <c r="D226" s="27"/>
      <c r="E226" s="27">
        <v>15000</v>
      </c>
      <c r="F226" s="27"/>
      <c r="G226" s="27">
        <f t="shared" si="171"/>
        <v>15000</v>
      </c>
      <c r="H226" s="27">
        <v>14500</v>
      </c>
      <c r="I226" s="27">
        <f t="shared" si="172"/>
        <v>500</v>
      </c>
      <c r="J226" s="27">
        <f t="shared" si="166"/>
        <v>500</v>
      </c>
      <c r="K226" s="27"/>
      <c r="L226" s="300"/>
      <c r="M226" s="204"/>
      <c r="N226" s="204"/>
      <c r="O226" s="204"/>
      <c r="P226" s="204"/>
      <c r="Q226" s="204"/>
      <c r="R226" s="22">
        <v>361</v>
      </c>
      <c r="S226" s="30">
        <v>150000</v>
      </c>
    </row>
    <row r="227" spans="1:22" s="22" customFormat="1" ht="31.5" x14ac:dyDescent="0.25">
      <c r="A227" s="24"/>
      <c r="B227" s="25" t="s">
        <v>531</v>
      </c>
      <c r="C227" s="88">
        <v>361</v>
      </c>
      <c r="D227" s="27"/>
      <c r="E227" s="27">
        <v>9000</v>
      </c>
      <c r="F227" s="27"/>
      <c r="G227" s="27">
        <f t="shared" si="171"/>
        <v>9000</v>
      </c>
      <c r="H227" s="27">
        <f>G227</f>
        <v>9000</v>
      </c>
      <c r="I227" s="27">
        <f t="shared" si="172"/>
        <v>0</v>
      </c>
      <c r="J227" s="27">
        <f t="shared" si="166"/>
        <v>0</v>
      </c>
      <c r="K227" s="27"/>
      <c r="L227" s="300"/>
      <c r="M227" s="204"/>
      <c r="N227" s="204"/>
      <c r="O227" s="204"/>
      <c r="P227" s="204"/>
      <c r="Q227" s="204"/>
      <c r="R227" s="22">
        <v>428</v>
      </c>
      <c r="S227" s="30">
        <v>27615</v>
      </c>
    </row>
    <row r="228" spans="1:22" s="22" customFormat="1" ht="31.5" x14ac:dyDescent="0.25">
      <c r="A228" s="24"/>
      <c r="B228" s="25" t="s">
        <v>532</v>
      </c>
      <c r="C228" s="88">
        <v>361</v>
      </c>
      <c r="D228" s="27"/>
      <c r="E228" s="27">
        <v>5000</v>
      </c>
      <c r="F228" s="27"/>
      <c r="G228" s="27">
        <f t="shared" si="171"/>
        <v>5000</v>
      </c>
      <c r="H228" s="27"/>
      <c r="I228" s="27">
        <f t="shared" si="172"/>
        <v>5000</v>
      </c>
      <c r="J228" s="27">
        <f t="shared" si="166"/>
        <v>5000</v>
      </c>
      <c r="K228" s="27"/>
      <c r="L228" s="300"/>
      <c r="M228" s="204"/>
      <c r="N228" s="204"/>
      <c r="O228" s="204"/>
      <c r="P228" s="204"/>
      <c r="Q228" s="204"/>
      <c r="R228" s="139" t="s">
        <v>614</v>
      </c>
      <c r="S228" s="30">
        <v>3000</v>
      </c>
    </row>
    <row r="229" spans="1:22" s="22" customFormat="1" x14ac:dyDescent="0.25">
      <c r="A229" s="24"/>
      <c r="B229" s="25" t="s">
        <v>100</v>
      </c>
      <c r="C229" s="88">
        <v>361</v>
      </c>
      <c r="D229" s="27"/>
      <c r="E229" s="27">
        <v>14000</v>
      </c>
      <c r="F229" s="27"/>
      <c r="G229" s="27">
        <f t="shared" si="171"/>
        <v>14000</v>
      </c>
      <c r="H229" s="27">
        <v>10000</v>
      </c>
      <c r="I229" s="27">
        <f t="shared" si="172"/>
        <v>4000</v>
      </c>
      <c r="J229" s="27">
        <f t="shared" si="166"/>
        <v>4000</v>
      </c>
      <c r="K229" s="27"/>
      <c r="L229" s="300"/>
      <c r="M229" s="204"/>
      <c r="N229" s="204"/>
      <c r="O229" s="204"/>
      <c r="P229" s="204"/>
      <c r="Q229" s="204"/>
      <c r="S229" s="30"/>
    </row>
    <row r="230" spans="1:22" s="22" customFormat="1" ht="31.5" x14ac:dyDescent="0.25">
      <c r="A230" s="24"/>
      <c r="B230" s="25" t="s">
        <v>101</v>
      </c>
      <c r="C230" s="88">
        <v>361</v>
      </c>
      <c r="D230" s="27"/>
      <c r="E230" s="27">
        <v>12000</v>
      </c>
      <c r="F230" s="27"/>
      <c r="G230" s="27">
        <f t="shared" si="171"/>
        <v>12000</v>
      </c>
      <c r="H230" s="27">
        <v>6000</v>
      </c>
      <c r="I230" s="27">
        <f t="shared" si="172"/>
        <v>6000</v>
      </c>
      <c r="J230" s="27">
        <f t="shared" si="166"/>
        <v>6000</v>
      </c>
      <c r="K230" s="27"/>
      <c r="L230" s="300"/>
      <c r="M230" s="204"/>
      <c r="N230" s="204"/>
      <c r="O230" s="204"/>
      <c r="P230" s="204"/>
      <c r="Q230" s="204"/>
      <c r="S230" s="30"/>
    </row>
    <row r="231" spans="1:22" s="22" customFormat="1" x14ac:dyDescent="0.25">
      <c r="A231" s="24"/>
      <c r="B231" s="25" t="s">
        <v>102</v>
      </c>
      <c r="C231" s="88">
        <v>361</v>
      </c>
      <c r="D231" s="27"/>
      <c r="E231" s="27">
        <v>9000</v>
      </c>
      <c r="F231" s="27"/>
      <c r="G231" s="27">
        <f t="shared" si="171"/>
        <v>9000</v>
      </c>
      <c r="H231" s="27">
        <f>G231</f>
        <v>9000</v>
      </c>
      <c r="I231" s="27">
        <f t="shared" si="172"/>
        <v>0</v>
      </c>
      <c r="J231" s="27">
        <f t="shared" si="166"/>
        <v>0</v>
      </c>
      <c r="K231" s="27"/>
      <c r="L231" s="300"/>
      <c r="M231" s="204"/>
      <c r="N231" s="204"/>
      <c r="O231" s="204"/>
      <c r="P231" s="204"/>
      <c r="Q231" s="204"/>
      <c r="S231" s="30"/>
    </row>
    <row r="232" spans="1:22" s="22" customFormat="1" ht="31.5" x14ac:dyDescent="0.25">
      <c r="A232" s="24"/>
      <c r="B232" s="25" t="s">
        <v>103</v>
      </c>
      <c r="C232" s="88">
        <v>361</v>
      </c>
      <c r="D232" s="27"/>
      <c r="E232" s="268">
        <v>30000</v>
      </c>
      <c r="F232" s="27"/>
      <c r="G232" s="27">
        <f t="shared" si="171"/>
        <v>30000</v>
      </c>
      <c r="H232" s="27"/>
      <c r="I232" s="27">
        <f t="shared" si="172"/>
        <v>30000</v>
      </c>
      <c r="J232" s="27">
        <f t="shared" si="166"/>
        <v>30000</v>
      </c>
      <c r="K232" s="27"/>
      <c r="L232" s="300"/>
      <c r="M232" s="204"/>
      <c r="N232" s="204"/>
      <c r="O232" s="204"/>
      <c r="P232" s="204"/>
      <c r="Q232" s="204"/>
      <c r="S232" s="30"/>
    </row>
    <row r="233" spans="1:22" s="22" customFormat="1" x14ac:dyDescent="0.25">
      <c r="A233" s="24"/>
      <c r="B233" s="25" t="s">
        <v>533</v>
      </c>
      <c r="C233" s="88">
        <v>361</v>
      </c>
      <c r="D233" s="27"/>
      <c r="E233" s="268">
        <v>113000</v>
      </c>
      <c r="F233" s="27"/>
      <c r="G233" s="27">
        <f t="shared" si="171"/>
        <v>113000</v>
      </c>
      <c r="H233" s="27">
        <v>102000</v>
      </c>
      <c r="I233" s="27">
        <f t="shared" si="172"/>
        <v>11000</v>
      </c>
      <c r="J233" s="27">
        <f t="shared" si="166"/>
        <v>11000</v>
      </c>
      <c r="K233" s="27"/>
      <c r="L233" s="300"/>
      <c r="M233" s="204"/>
      <c r="N233" s="204"/>
      <c r="O233" s="204"/>
      <c r="P233" s="204"/>
      <c r="Q233" s="204"/>
      <c r="S233" s="30"/>
    </row>
    <row r="234" spans="1:22" s="22" customFormat="1" ht="31.5" x14ac:dyDescent="0.25">
      <c r="A234" s="24"/>
      <c r="B234" s="266" t="s">
        <v>104</v>
      </c>
      <c r="C234" s="88">
        <v>361</v>
      </c>
      <c r="D234" s="27"/>
      <c r="E234" s="27">
        <v>14000</v>
      </c>
      <c r="F234" s="27"/>
      <c r="G234" s="27">
        <f t="shared" si="171"/>
        <v>14000</v>
      </c>
      <c r="H234" s="27"/>
      <c r="I234" s="27">
        <f t="shared" si="172"/>
        <v>14000</v>
      </c>
      <c r="J234" s="27">
        <f t="shared" si="166"/>
        <v>14000</v>
      </c>
      <c r="K234" s="27"/>
      <c r="L234" s="300"/>
      <c r="M234" s="204"/>
      <c r="N234" s="204"/>
      <c r="O234" s="204"/>
      <c r="P234" s="204"/>
      <c r="Q234" s="204"/>
      <c r="S234" s="30"/>
    </row>
    <row r="235" spans="1:22" s="22" customFormat="1" x14ac:dyDescent="0.25">
      <c r="A235" s="24"/>
      <c r="B235" s="25" t="s">
        <v>619</v>
      </c>
      <c r="C235" s="88" t="s">
        <v>614</v>
      </c>
      <c r="D235" s="27"/>
      <c r="E235" s="27"/>
      <c r="F235" s="27">
        <v>3000</v>
      </c>
      <c r="G235" s="27">
        <f t="shared" si="171"/>
        <v>3000</v>
      </c>
      <c r="H235" s="27">
        <f>G235</f>
        <v>3000</v>
      </c>
      <c r="I235" s="27">
        <f t="shared" si="172"/>
        <v>0</v>
      </c>
      <c r="J235" s="27">
        <f t="shared" si="166"/>
        <v>0</v>
      </c>
      <c r="K235" s="27"/>
      <c r="L235" s="300"/>
      <c r="M235" s="204"/>
      <c r="N235" s="204"/>
      <c r="O235" s="204"/>
      <c r="P235" s="204"/>
      <c r="Q235" s="204"/>
      <c r="S235" s="30"/>
    </row>
    <row r="236" spans="1:22" s="22" customFormat="1" ht="47.25" x14ac:dyDescent="0.25">
      <c r="A236" s="24"/>
      <c r="B236" s="32" t="s">
        <v>634</v>
      </c>
      <c r="C236" s="88">
        <v>281</v>
      </c>
      <c r="D236" s="27"/>
      <c r="E236" s="27"/>
      <c r="F236" s="27">
        <v>47000</v>
      </c>
      <c r="G236" s="27">
        <f t="shared" si="171"/>
        <v>47000</v>
      </c>
      <c r="H236" s="27">
        <v>0</v>
      </c>
      <c r="I236" s="27">
        <f t="shared" si="172"/>
        <v>47000</v>
      </c>
      <c r="J236" s="27">
        <f t="shared" si="166"/>
        <v>47000</v>
      </c>
      <c r="K236" s="27"/>
      <c r="L236" s="300"/>
      <c r="M236" s="204"/>
      <c r="N236" s="204"/>
      <c r="O236" s="204"/>
      <c r="P236" s="204"/>
      <c r="Q236" s="204"/>
      <c r="S236" s="30"/>
    </row>
    <row r="237" spans="1:22" ht="31.5" x14ac:dyDescent="0.25">
      <c r="A237" s="24"/>
      <c r="B237" s="35" t="s">
        <v>657</v>
      </c>
      <c r="C237" s="88">
        <v>278</v>
      </c>
      <c r="D237" s="27"/>
      <c r="E237" s="27"/>
      <c r="F237" s="27">
        <v>30000</v>
      </c>
      <c r="G237" s="27">
        <f t="shared" si="171"/>
        <v>30000</v>
      </c>
      <c r="H237" s="27">
        <v>0</v>
      </c>
      <c r="I237" s="27">
        <f t="shared" si="172"/>
        <v>30000</v>
      </c>
      <c r="J237" s="27">
        <f t="shared" si="166"/>
        <v>30000</v>
      </c>
      <c r="K237" s="27"/>
      <c r="L237" s="300"/>
      <c r="M237" s="204"/>
      <c r="N237" s="204"/>
      <c r="O237" s="204"/>
      <c r="P237" s="204"/>
      <c r="Q237" s="204"/>
    </row>
    <row r="238" spans="1:22" x14ac:dyDescent="0.25">
      <c r="A238" s="24"/>
      <c r="B238" s="35" t="s">
        <v>666</v>
      </c>
      <c r="C238" s="88">
        <v>428</v>
      </c>
      <c r="D238" s="27"/>
      <c r="E238" s="27"/>
      <c r="F238" s="27">
        <v>32500</v>
      </c>
      <c r="G238" s="27">
        <f t="shared" ref="G238" si="173">SUM(D238:F238)</f>
        <v>32500</v>
      </c>
      <c r="H238" s="27">
        <v>27615</v>
      </c>
      <c r="I238" s="27">
        <f t="shared" si="172"/>
        <v>4885</v>
      </c>
      <c r="J238" s="27">
        <f t="shared" si="166"/>
        <v>4885</v>
      </c>
      <c r="K238" s="27"/>
      <c r="L238" s="300"/>
      <c r="M238" s="204"/>
      <c r="N238" s="204"/>
      <c r="O238" s="204"/>
      <c r="P238" s="204"/>
      <c r="Q238" s="204"/>
    </row>
    <row r="239" spans="1:22" x14ac:dyDescent="0.25">
      <c r="A239" s="61"/>
      <c r="B239" s="25" t="s">
        <v>693</v>
      </c>
      <c r="C239" s="88">
        <v>281</v>
      </c>
      <c r="D239" s="285"/>
      <c r="E239" s="287"/>
      <c r="F239" s="285">
        <v>8000</v>
      </c>
      <c r="G239" s="285">
        <f t="shared" ref="G239" si="174">SUM(D239:F239)</f>
        <v>8000</v>
      </c>
      <c r="H239" s="285">
        <v>0</v>
      </c>
      <c r="I239" s="285">
        <f t="shared" si="172"/>
        <v>8000</v>
      </c>
      <c r="J239" s="27">
        <f t="shared" si="166"/>
        <v>8000</v>
      </c>
      <c r="K239" s="27"/>
      <c r="L239" s="300" t="s">
        <v>694</v>
      </c>
      <c r="M239" s="204"/>
      <c r="N239" s="204"/>
      <c r="O239" s="204"/>
      <c r="P239" s="204"/>
      <c r="Q239" s="204"/>
    </row>
    <row r="240" spans="1:22" ht="16.5" x14ac:dyDescent="0.25">
      <c r="A240" s="14">
        <v>3</v>
      </c>
      <c r="B240" s="15" t="s">
        <v>105</v>
      </c>
      <c r="C240" s="15"/>
      <c r="D240" s="16">
        <f t="shared" ref="D240:Q240" si="175">SUM(D241:D260)</f>
        <v>0</v>
      </c>
      <c r="E240" s="16">
        <f t="shared" si="175"/>
        <v>241500</v>
      </c>
      <c r="F240" s="16">
        <f t="shared" si="175"/>
        <v>190820</v>
      </c>
      <c r="G240" s="318">
        <f t="shared" si="175"/>
        <v>432320</v>
      </c>
      <c r="H240" s="318">
        <f t="shared" si="175"/>
        <v>329920</v>
      </c>
      <c r="I240" s="318">
        <f t="shared" si="175"/>
        <v>102400</v>
      </c>
      <c r="J240" s="318">
        <f t="shared" si="175"/>
        <v>102400</v>
      </c>
      <c r="K240" s="318">
        <f t="shared" si="175"/>
        <v>0</v>
      </c>
      <c r="L240" s="299">
        <f t="shared" si="175"/>
        <v>0</v>
      </c>
      <c r="M240" s="16">
        <f t="shared" si="175"/>
        <v>0</v>
      </c>
      <c r="N240" s="16">
        <f t="shared" si="175"/>
        <v>0</v>
      </c>
      <c r="O240" s="16">
        <f t="shared" si="175"/>
        <v>0</v>
      </c>
      <c r="P240" s="16">
        <f t="shared" si="175"/>
        <v>0</v>
      </c>
      <c r="Q240" s="16">
        <f t="shared" si="175"/>
        <v>0</v>
      </c>
      <c r="R240" s="319">
        <f>S240-H240</f>
        <v>-54</v>
      </c>
      <c r="S240" s="131">
        <f>SUM(S241:S244)</f>
        <v>329866</v>
      </c>
      <c r="T240" s="155">
        <f>G240-SUM(D240:F240)</f>
        <v>0</v>
      </c>
      <c r="U240" s="155">
        <f>G240-H240-I240</f>
        <v>0</v>
      </c>
      <c r="V240" s="155">
        <f>I240-J240-K240</f>
        <v>0</v>
      </c>
    </row>
    <row r="241" spans="1:19" s="22" customFormat="1" ht="47.25" x14ac:dyDescent="0.25">
      <c r="A241" s="24"/>
      <c r="B241" s="41" t="s">
        <v>534</v>
      </c>
      <c r="C241" s="88">
        <v>361</v>
      </c>
      <c r="D241" s="27"/>
      <c r="E241" s="27">
        <v>36000</v>
      </c>
      <c r="F241" s="27"/>
      <c r="G241" s="27">
        <f>SUM(D241:F241)</f>
        <v>36000</v>
      </c>
      <c r="H241" s="27">
        <f>G241</f>
        <v>36000</v>
      </c>
      <c r="I241" s="27">
        <f>G241-H241</f>
        <v>0</v>
      </c>
      <c r="J241" s="27">
        <f t="shared" si="166"/>
        <v>0</v>
      </c>
      <c r="K241" s="27"/>
      <c r="L241" s="300"/>
      <c r="M241" s="204"/>
      <c r="N241" s="204"/>
      <c r="O241" s="204"/>
      <c r="P241" s="204"/>
      <c r="Q241" s="204"/>
      <c r="R241" s="22">
        <v>278</v>
      </c>
      <c r="S241" s="30">
        <v>24400</v>
      </c>
    </row>
    <row r="242" spans="1:19" ht="31.5" x14ac:dyDescent="0.25">
      <c r="A242" s="24"/>
      <c r="B242" s="25" t="s">
        <v>535</v>
      </c>
      <c r="C242" s="88">
        <v>361</v>
      </c>
      <c r="D242" s="27"/>
      <c r="E242" s="27">
        <v>40000</v>
      </c>
      <c r="F242" s="27"/>
      <c r="G242" s="27">
        <f t="shared" ref="G242:G254" si="176">SUM(D242:F242)</f>
        <v>40000</v>
      </c>
      <c r="H242" s="27">
        <v>20000</v>
      </c>
      <c r="I242" s="27">
        <f t="shared" ref="I242:I256" si="177">G242-H242</f>
        <v>20000</v>
      </c>
      <c r="J242" s="27">
        <f t="shared" si="166"/>
        <v>20000</v>
      </c>
      <c r="K242" s="27"/>
      <c r="L242" s="300"/>
      <c r="M242" s="204"/>
      <c r="N242" s="204"/>
      <c r="O242" s="204"/>
      <c r="P242" s="204"/>
      <c r="Q242" s="204"/>
      <c r="R242" s="13">
        <v>281</v>
      </c>
      <c r="S242" s="126">
        <v>75040</v>
      </c>
    </row>
    <row r="243" spans="1:19" s="22" customFormat="1" ht="31.5" x14ac:dyDescent="0.25">
      <c r="A243" s="24"/>
      <c r="B243" s="41" t="s">
        <v>536</v>
      </c>
      <c r="C243" s="88">
        <v>361</v>
      </c>
      <c r="D243" s="27"/>
      <c r="E243" s="27">
        <v>9000</v>
      </c>
      <c r="F243" s="27"/>
      <c r="G243" s="27">
        <f t="shared" si="176"/>
        <v>9000</v>
      </c>
      <c r="H243" s="27"/>
      <c r="I243" s="27">
        <f t="shared" si="177"/>
        <v>9000</v>
      </c>
      <c r="J243" s="27">
        <f t="shared" si="166"/>
        <v>9000</v>
      </c>
      <c r="K243" s="27"/>
      <c r="L243" s="300"/>
      <c r="M243" s="204"/>
      <c r="N243" s="204"/>
      <c r="O243" s="204"/>
      <c r="P243" s="204"/>
      <c r="Q243" s="204"/>
      <c r="R243" s="22">
        <v>361</v>
      </c>
      <c r="S243" s="30">
        <v>210226</v>
      </c>
    </row>
    <row r="244" spans="1:19" s="22" customFormat="1" ht="47.25" x14ac:dyDescent="0.25">
      <c r="A244" s="24"/>
      <c r="B244" s="269" t="s">
        <v>106</v>
      </c>
      <c r="C244" s="88">
        <v>361</v>
      </c>
      <c r="D244" s="27"/>
      <c r="E244" s="27">
        <v>14000</v>
      </c>
      <c r="F244" s="27"/>
      <c r="G244" s="27">
        <f t="shared" si="176"/>
        <v>14000</v>
      </c>
      <c r="H244" s="27">
        <v>10500</v>
      </c>
      <c r="I244" s="27">
        <f t="shared" si="177"/>
        <v>3500</v>
      </c>
      <c r="J244" s="27">
        <f t="shared" si="166"/>
        <v>3500</v>
      </c>
      <c r="K244" s="27"/>
      <c r="L244" s="300"/>
      <c r="M244" s="204"/>
      <c r="N244" s="204"/>
      <c r="O244" s="204"/>
      <c r="P244" s="204"/>
      <c r="Q244" s="204"/>
      <c r="R244" s="22">
        <v>428</v>
      </c>
      <c r="S244" s="30">
        <v>20200</v>
      </c>
    </row>
    <row r="245" spans="1:19" ht="47.25" x14ac:dyDescent="0.25">
      <c r="A245" s="24"/>
      <c r="B245" s="35" t="s">
        <v>109</v>
      </c>
      <c r="C245" s="88">
        <v>361</v>
      </c>
      <c r="D245" s="27"/>
      <c r="E245" s="27">
        <v>9000</v>
      </c>
      <c r="F245" s="27"/>
      <c r="G245" s="27">
        <f t="shared" si="176"/>
        <v>9000</v>
      </c>
      <c r="H245" s="27">
        <f>G245</f>
        <v>9000</v>
      </c>
      <c r="I245" s="27">
        <f t="shared" si="177"/>
        <v>0</v>
      </c>
      <c r="J245" s="27">
        <f t="shared" si="166"/>
        <v>0</v>
      </c>
      <c r="K245" s="27"/>
      <c r="L245" s="300"/>
      <c r="M245" s="204"/>
      <c r="N245" s="204"/>
      <c r="O245" s="204"/>
      <c r="P245" s="204"/>
      <c r="Q245" s="204"/>
    </row>
    <row r="246" spans="1:19" ht="47.25" x14ac:dyDescent="0.25">
      <c r="A246" s="24"/>
      <c r="B246" s="41" t="s">
        <v>108</v>
      </c>
      <c r="C246" s="88">
        <v>361</v>
      </c>
      <c r="D246" s="27"/>
      <c r="E246" s="27">
        <v>9000</v>
      </c>
      <c r="F246" s="27"/>
      <c r="G246" s="27">
        <f t="shared" si="176"/>
        <v>9000</v>
      </c>
      <c r="H246" s="27">
        <f>G246</f>
        <v>9000</v>
      </c>
      <c r="I246" s="27">
        <f t="shared" si="177"/>
        <v>0</v>
      </c>
      <c r="J246" s="27">
        <f t="shared" si="166"/>
        <v>0</v>
      </c>
      <c r="K246" s="27"/>
      <c r="L246" s="300"/>
      <c r="M246" s="204"/>
      <c r="N246" s="204"/>
      <c r="O246" s="204"/>
      <c r="P246" s="204"/>
      <c r="Q246" s="204"/>
    </row>
    <row r="247" spans="1:19" ht="31.5" x14ac:dyDescent="0.25">
      <c r="A247" s="24"/>
      <c r="B247" s="35" t="s">
        <v>537</v>
      </c>
      <c r="C247" s="88">
        <v>361</v>
      </c>
      <c r="D247" s="27"/>
      <c r="E247" s="27">
        <v>12000</v>
      </c>
      <c r="F247" s="27"/>
      <c r="G247" s="27">
        <f t="shared" si="176"/>
        <v>12000</v>
      </c>
      <c r="H247" s="27"/>
      <c r="I247" s="27">
        <f t="shared" si="177"/>
        <v>12000</v>
      </c>
      <c r="J247" s="27">
        <f t="shared" si="166"/>
        <v>12000</v>
      </c>
      <c r="K247" s="27"/>
      <c r="L247" s="300"/>
      <c r="M247" s="204"/>
      <c r="N247" s="204"/>
      <c r="O247" s="204"/>
      <c r="P247" s="204"/>
      <c r="Q247" s="204"/>
    </row>
    <row r="248" spans="1:19" ht="31.5" x14ac:dyDescent="0.25">
      <c r="A248" s="24"/>
      <c r="B248" s="32" t="s">
        <v>538</v>
      </c>
      <c r="C248" s="88">
        <v>361</v>
      </c>
      <c r="D248" s="27"/>
      <c r="E248" s="27">
        <v>10000</v>
      </c>
      <c r="F248" s="27"/>
      <c r="G248" s="27">
        <f t="shared" si="176"/>
        <v>10000</v>
      </c>
      <c r="H248" s="27"/>
      <c r="I248" s="27">
        <f t="shared" si="177"/>
        <v>10000</v>
      </c>
      <c r="J248" s="27">
        <f t="shared" si="166"/>
        <v>10000</v>
      </c>
      <c r="K248" s="27"/>
      <c r="L248" s="300"/>
      <c r="M248" s="204"/>
      <c r="N248" s="204"/>
      <c r="O248" s="204"/>
      <c r="P248" s="204"/>
      <c r="Q248" s="204"/>
    </row>
    <row r="249" spans="1:19" ht="31.5" x14ac:dyDescent="0.25">
      <c r="A249" s="24"/>
      <c r="B249" s="35" t="s">
        <v>539</v>
      </c>
      <c r="C249" s="88">
        <v>361</v>
      </c>
      <c r="D249" s="27"/>
      <c r="E249" s="27">
        <v>7000</v>
      </c>
      <c r="F249" s="27"/>
      <c r="G249" s="27">
        <f t="shared" si="176"/>
        <v>7000</v>
      </c>
      <c r="H249" s="27">
        <f>G249</f>
        <v>7000</v>
      </c>
      <c r="I249" s="27">
        <f t="shared" si="177"/>
        <v>0</v>
      </c>
      <c r="J249" s="27">
        <f t="shared" si="166"/>
        <v>0</v>
      </c>
      <c r="K249" s="27"/>
      <c r="L249" s="300"/>
      <c r="M249" s="204"/>
      <c r="N249" s="204"/>
      <c r="O249" s="204"/>
      <c r="P249" s="204"/>
      <c r="Q249" s="204"/>
    </row>
    <row r="250" spans="1:19" ht="63" x14ac:dyDescent="0.25">
      <c r="A250" s="24"/>
      <c r="B250" s="41" t="s">
        <v>107</v>
      </c>
      <c r="C250" s="88">
        <v>361</v>
      </c>
      <c r="D250" s="27"/>
      <c r="E250" s="27">
        <v>9000</v>
      </c>
      <c r="F250" s="27"/>
      <c r="G250" s="27">
        <f t="shared" si="176"/>
        <v>9000</v>
      </c>
      <c r="H250" s="27"/>
      <c r="I250" s="27">
        <f t="shared" si="177"/>
        <v>9000</v>
      </c>
      <c r="J250" s="27">
        <f t="shared" si="166"/>
        <v>9000</v>
      </c>
      <c r="K250" s="27"/>
      <c r="L250" s="300"/>
      <c r="M250" s="204"/>
      <c r="N250" s="204"/>
      <c r="O250" s="204"/>
      <c r="P250" s="204"/>
      <c r="Q250" s="204"/>
    </row>
    <row r="251" spans="1:19" ht="31.5" x14ac:dyDescent="0.25">
      <c r="A251" s="24"/>
      <c r="B251" s="35" t="s">
        <v>543</v>
      </c>
      <c r="C251" s="88">
        <v>361</v>
      </c>
      <c r="D251" s="27"/>
      <c r="E251" s="27">
        <v>8200</v>
      </c>
      <c r="F251" s="27"/>
      <c r="G251" s="27">
        <f t="shared" si="176"/>
        <v>8200</v>
      </c>
      <c r="H251" s="27">
        <f>G251</f>
        <v>8200</v>
      </c>
      <c r="I251" s="27">
        <f t="shared" si="177"/>
        <v>0</v>
      </c>
      <c r="J251" s="27">
        <f t="shared" si="166"/>
        <v>0</v>
      </c>
      <c r="K251" s="27"/>
      <c r="L251" s="300"/>
      <c r="M251" s="204"/>
      <c r="N251" s="204"/>
      <c r="O251" s="204"/>
      <c r="P251" s="204"/>
      <c r="Q251" s="204"/>
    </row>
    <row r="252" spans="1:19" x14ac:dyDescent="0.25">
      <c r="A252" s="24"/>
      <c r="B252" s="35" t="s">
        <v>540</v>
      </c>
      <c r="C252" s="88">
        <v>361</v>
      </c>
      <c r="D252" s="27"/>
      <c r="E252" s="27">
        <v>7300</v>
      </c>
      <c r="F252" s="27"/>
      <c r="G252" s="27">
        <f t="shared" si="176"/>
        <v>7300</v>
      </c>
      <c r="H252" s="27"/>
      <c r="I252" s="27">
        <f t="shared" si="177"/>
        <v>7300</v>
      </c>
      <c r="J252" s="27">
        <f t="shared" si="166"/>
        <v>7300</v>
      </c>
      <c r="K252" s="27"/>
      <c r="L252" s="300"/>
      <c r="M252" s="204"/>
      <c r="N252" s="204"/>
      <c r="O252" s="204"/>
      <c r="P252" s="204"/>
      <c r="Q252" s="204"/>
    </row>
    <row r="253" spans="1:19" s="22" customFormat="1" x14ac:dyDescent="0.25">
      <c r="A253" s="45"/>
      <c r="B253" s="35" t="s">
        <v>541</v>
      </c>
      <c r="C253" s="88">
        <v>361</v>
      </c>
      <c r="D253" s="27"/>
      <c r="E253" s="27">
        <f>2*7*10*100+2000</f>
        <v>16000</v>
      </c>
      <c r="F253" s="27"/>
      <c r="G253" s="27">
        <f>SUM(D253:F253)</f>
        <v>16000</v>
      </c>
      <c r="H253" s="27"/>
      <c r="I253" s="27">
        <f t="shared" si="177"/>
        <v>16000</v>
      </c>
      <c r="J253" s="27">
        <f t="shared" si="166"/>
        <v>16000</v>
      </c>
      <c r="K253" s="27"/>
      <c r="L253" s="300"/>
      <c r="M253" s="204"/>
      <c r="N253" s="204"/>
      <c r="O253" s="204"/>
      <c r="P253" s="204"/>
      <c r="Q253" s="204"/>
      <c r="S253" s="30"/>
    </row>
    <row r="254" spans="1:19" x14ac:dyDescent="0.25">
      <c r="A254" s="24"/>
      <c r="B254" s="35" t="s">
        <v>542</v>
      </c>
      <c r="C254" s="88">
        <v>361</v>
      </c>
      <c r="D254" s="27"/>
      <c r="E254" s="27">
        <v>20000</v>
      </c>
      <c r="F254" s="27"/>
      <c r="G254" s="27">
        <f t="shared" si="176"/>
        <v>20000</v>
      </c>
      <c r="H254" s="27">
        <f>G254</f>
        <v>20000</v>
      </c>
      <c r="I254" s="27">
        <f t="shared" si="177"/>
        <v>0</v>
      </c>
      <c r="J254" s="27">
        <f t="shared" si="166"/>
        <v>0</v>
      </c>
      <c r="K254" s="27"/>
      <c r="L254" s="300"/>
      <c r="M254" s="204"/>
      <c r="N254" s="204"/>
      <c r="O254" s="204"/>
      <c r="P254" s="204"/>
      <c r="Q254" s="204"/>
    </row>
    <row r="255" spans="1:19" x14ac:dyDescent="0.25">
      <c r="A255" s="24"/>
      <c r="B255" s="269" t="s">
        <v>112</v>
      </c>
      <c r="C255" s="88">
        <v>361</v>
      </c>
      <c r="D255" s="27"/>
      <c r="E255" s="27">
        <v>35000</v>
      </c>
      <c r="F255" s="27">
        <v>-33380</v>
      </c>
      <c r="G255" s="27">
        <f t="shared" ref="G255" si="178">SUM(D255:F255)</f>
        <v>1620</v>
      </c>
      <c r="H255" s="27">
        <f>G255</f>
        <v>1620</v>
      </c>
      <c r="I255" s="27">
        <f t="shared" si="177"/>
        <v>0</v>
      </c>
      <c r="J255" s="27">
        <f t="shared" si="166"/>
        <v>0</v>
      </c>
      <c r="K255" s="27"/>
      <c r="L255" s="300"/>
      <c r="M255" s="204"/>
      <c r="N255" s="204"/>
      <c r="O255" s="204"/>
      <c r="P255" s="204"/>
      <c r="Q255" s="204"/>
    </row>
    <row r="256" spans="1:19" ht="31.5" x14ac:dyDescent="0.25">
      <c r="A256" s="24"/>
      <c r="B256" s="35" t="s">
        <v>658</v>
      </c>
      <c r="C256" s="88">
        <v>278</v>
      </c>
      <c r="D256" s="27"/>
      <c r="E256" s="27"/>
      <c r="F256" s="27">
        <v>40000</v>
      </c>
      <c r="G256" s="27">
        <f t="shared" ref="G256" si="179">SUM(D256:F256)</f>
        <v>40000</v>
      </c>
      <c r="H256" s="27">
        <v>24400</v>
      </c>
      <c r="I256" s="27">
        <f t="shared" si="177"/>
        <v>15600</v>
      </c>
      <c r="J256" s="27">
        <f t="shared" si="166"/>
        <v>15600</v>
      </c>
      <c r="K256" s="27"/>
      <c r="L256" s="300"/>
      <c r="M256" s="204"/>
      <c r="N256" s="204"/>
      <c r="O256" s="204"/>
      <c r="P256" s="204"/>
      <c r="Q256" s="204"/>
    </row>
    <row r="257" spans="1:22" ht="31.5" x14ac:dyDescent="0.25">
      <c r="A257" s="24"/>
      <c r="B257" s="35" t="s">
        <v>674</v>
      </c>
      <c r="C257" s="88">
        <v>428</v>
      </c>
      <c r="D257" s="27"/>
      <c r="E257" s="27"/>
      <c r="F257" s="27">
        <v>20200</v>
      </c>
      <c r="G257" s="27">
        <f t="shared" ref="G257:G258" si="180">SUM(D257:F257)</f>
        <v>20200</v>
      </c>
      <c r="H257" s="27">
        <f>G257</f>
        <v>20200</v>
      </c>
      <c r="I257" s="27">
        <f t="shared" ref="I257:I260" si="181">G257-H257</f>
        <v>0</v>
      </c>
      <c r="J257" s="27">
        <f t="shared" ref="J257:J260" si="182">I257-K257</f>
        <v>0</v>
      </c>
      <c r="K257" s="27"/>
      <c r="L257" s="300"/>
      <c r="M257" s="204"/>
      <c r="N257" s="204"/>
      <c r="O257" s="204"/>
      <c r="P257" s="204"/>
      <c r="Q257" s="204"/>
    </row>
    <row r="258" spans="1:22" ht="33" customHeight="1" x14ac:dyDescent="0.25">
      <c r="A258" s="24"/>
      <c r="B258" s="25" t="s">
        <v>682</v>
      </c>
      <c r="C258" s="88">
        <v>361</v>
      </c>
      <c r="D258" s="27"/>
      <c r="E258" s="27"/>
      <c r="F258" s="27">
        <v>88000</v>
      </c>
      <c r="G258" s="27">
        <f t="shared" si="180"/>
        <v>88000</v>
      </c>
      <c r="H258" s="27">
        <f>G258</f>
        <v>88000</v>
      </c>
      <c r="I258" s="27">
        <f t="shared" si="181"/>
        <v>0</v>
      </c>
      <c r="J258" s="27">
        <f t="shared" si="182"/>
        <v>0</v>
      </c>
      <c r="K258" s="27"/>
      <c r="L258" s="300" t="s">
        <v>707</v>
      </c>
      <c r="M258" s="204"/>
      <c r="N258" s="204"/>
      <c r="O258" s="204"/>
      <c r="P258" s="204"/>
      <c r="Q258" s="204"/>
    </row>
    <row r="259" spans="1:22" x14ac:dyDescent="0.25">
      <c r="A259" s="61"/>
      <c r="B259" s="25" t="s">
        <v>693</v>
      </c>
      <c r="C259" s="88">
        <v>281</v>
      </c>
      <c r="D259" s="285"/>
      <c r="E259" s="287"/>
      <c r="F259" s="285">
        <v>52000</v>
      </c>
      <c r="G259" s="285">
        <f t="shared" ref="G259" si="183">SUM(D259:F259)</f>
        <v>52000</v>
      </c>
      <c r="H259" s="285">
        <f>G259</f>
        <v>52000</v>
      </c>
      <c r="I259" s="285">
        <f t="shared" si="181"/>
        <v>0</v>
      </c>
      <c r="J259" s="27">
        <f t="shared" si="182"/>
        <v>0</v>
      </c>
      <c r="K259" s="27"/>
      <c r="L259" s="300" t="s">
        <v>694</v>
      </c>
      <c r="M259" s="204"/>
      <c r="N259" s="204"/>
      <c r="O259" s="204"/>
      <c r="P259" s="204"/>
      <c r="Q259" s="204"/>
    </row>
    <row r="260" spans="1:22" ht="31.5" x14ac:dyDescent="0.25">
      <c r="A260" s="61"/>
      <c r="B260" s="25" t="s">
        <v>717</v>
      </c>
      <c r="C260" s="88">
        <v>281</v>
      </c>
      <c r="D260" s="285"/>
      <c r="E260" s="287"/>
      <c r="F260" s="285">
        <v>24000</v>
      </c>
      <c r="G260" s="285">
        <f t="shared" ref="G260" si="184">SUM(D260:F260)</f>
        <v>24000</v>
      </c>
      <c r="H260" s="285">
        <f>G260</f>
        <v>24000</v>
      </c>
      <c r="I260" s="285">
        <f t="shared" si="181"/>
        <v>0</v>
      </c>
      <c r="J260" s="27">
        <f t="shared" si="182"/>
        <v>0</v>
      </c>
      <c r="K260" s="27"/>
      <c r="L260" s="300"/>
      <c r="M260" s="204"/>
      <c r="N260" s="204"/>
      <c r="O260" s="204"/>
      <c r="P260" s="204"/>
      <c r="Q260" s="204"/>
    </row>
    <row r="261" spans="1:22" ht="16.5" x14ac:dyDescent="0.25">
      <c r="A261" s="14">
        <v>4</v>
      </c>
      <c r="B261" s="15" t="s">
        <v>110</v>
      </c>
      <c r="C261" s="15"/>
      <c r="D261" s="16">
        <f t="shared" ref="D261:Q261" si="185">SUM(D262:D279)</f>
        <v>0</v>
      </c>
      <c r="E261" s="16">
        <f t="shared" si="185"/>
        <v>89520</v>
      </c>
      <c r="F261" s="16">
        <f t="shared" si="185"/>
        <v>312670</v>
      </c>
      <c r="G261" s="318">
        <f t="shared" si="185"/>
        <v>402190</v>
      </c>
      <c r="H261" s="318">
        <f t="shared" si="185"/>
        <v>51670</v>
      </c>
      <c r="I261" s="318">
        <f t="shared" si="185"/>
        <v>350520</v>
      </c>
      <c r="J261" s="318">
        <f t="shared" si="185"/>
        <v>350520</v>
      </c>
      <c r="K261" s="318">
        <f t="shared" si="185"/>
        <v>0</v>
      </c>
      <c r="L261" s="299">
        <f t="shared" si="185"/>
        <v>0</v>
      </c>
      <c r="M261" s="16">
        <f t="shared" si="185"/>
        <v>0</v>
      </c>
      <c r="N261" s="16">
        <f t="shared" si="185"/>
        <v>0</v>
      </c>
      <c r="O261" s="16">
        <f t="shared" si="185"/>
        <v>0</v>
      </c>
      <c r="P261" s="16">
        <f t="shared" si="185"/>
        <v>0</v>
      </c>
      <c r="Q261" s="16">
        <f t="shared" si="185"/>
        <v>0</v>
      </c>
      <c r="R261" s="319">
        <f>S261-H261</f>
        <v>-1760</v>
      </c>
      <c r="S261" s="131">
        <f>SUM(S262:S265)</f>
        <v>49910</v>
      </c>
      <c r="T261" s="155">
        <f>G261-SUM(D261:F261)</f>
        <v>0</v>
      </c>
      <c r="U261" s="155">
        <f>G261-H261-I261</f>
        <v>0</v>
      </c>
      <c r="V261" s="155">
        <f>I261-J261-K261</f>
        <v>0</v>
      </c>
    </row>
    <row r="262" spans="1:22" ht="94.5" x14ac:dyDescent="0.25">
      <c r="A262" s="24"/>
      <c r="B262" s="41" t="s">
        <v>544</v>
      </c>
      <c r="C262" s="88">
        <v>361</v>
      </c>
      <c r="D262" s="27"/>
      <c r="E262" s="27">
        <v>11300</v>
      </c>
      <c r="F262" s="27"/>
      <c r="G262" s="27">
        <f t="shared" ref="G262:G272" si="186">SUM(D262:F262)</f>
        <v>11300</v>
      </c>
      <c r="H262" s="27">
        <v>8000</v>
      </c>
      <c r="I262" s="27">
        <f t="shared" ref="I262" si="187">G262-H262</f>
        <v>3300</v>
      </c>
      <c r="J262" s="27">
        <f t="shared" si="166"/>
        <v>3300</v>
      </c>
      <c r="K262" s="27"/>
      <c r="L262" s="300"/>
      <c r="M262" s="204"/>
      <c r="N262" s="204"/>
      <c r="O262" s="204"/>
      <c r="P262" s="204"/>
      <c r="Q262" s="204"/>
      <c r="R262" s="13">
        <v>278</v>
      </c>
      <c r="S262" s="126">
        <v>0</v>
      </c>
    </row>
    <row r="263" spans="1:22" ht="31.5" x14ac:dyDescent="0.25">
      <c r="A263" s="24"/>
      <c r="B263" s="41" t="s">
        <v>545</v>
      </c>
      <c r="C263" s="88">
        <v>361</v>
      </c>
      <c r="D263" s="27"/>
      <c r="E263" s="27">
        <v>18300</v>
      </c>
      <c r="F263" s="27"/>
      <c r="G263" s="27">
        <f t="shared" si="186"/>
        <v>18300</v>
      </c>
      <c r="H263" s="27"/>
      <c r="I263" s="27">
        <f t="shared" ref="I263:I272" si="188">G263-H263</f>
        <v>18300</v>
      </c>
      <c r="J263" s="27">
        <f t="shared" si="166"/>
        <v>18300</v>
      </c>
      <c r="K263" s="27"/>
      <c r="L263" s="300"/>
      <c r="M263" s="204"/>
      <c r="N263" s="204"/>
      <c r="O263" s="204"/>
      <c r="P263" s="204"/>
      <c r="Q263" s="204"/>
      <c r="R263" s="13">
        <v>281</v>
      </c>
      <c r="S263" s="126">
        <v>41810</v>
      </c>
    </row>
    <row r="264" spans="1:22" ht="63" x14ac:dyDescent="0.25">
      <c r="A264" s="24"/>
      <c r="B264" s="41" t="s">
        <v>546</v>
      </c>
      <c r="C264" s="88">
        <v>361</v>
      </c>
      <c r="D264" s="27"/>
      <c r="E264" s="27">
        <v>3600</v>
      </c>
      <c r="F264" s="27"/>
      <c r="G264" s="27">
        <f t="shared" si="186"/>
        <v>3600</v>
      </c>
      <c r="H264" s="27"/>
      <c r="I264" s="27">
        <f t="shared" si="188"/>
        <v>3600</v>
      </c>
      <c r="J264" s="27">
        <f t="shared" si="166"/>
        <v>3600</v>
      </c>
      <c r="K264" s="27"/>
      <c r="L264" s="300"/>
      <c r="M264" s="204"/>
      <c r="N264" s="204"/>
      <c r="O264" s="204"/>
      <c r="P264" s="204"/>
      <c r="Q264" s="204"/>
      <c r="R264" s="13">
        <v>361</v>
      </c>
      <c r="S264" s="126">
        <v>8100</v>
      </c>
    </row>
    <row r="265" spans="1:22" ht="93" customHeight="1" x14ac:dyDescent="0.25">
      <c r="A265" s="24"/>
      <c r="B265" s="41" t="s">
        <v>547</v>
      </c>
      <c r="C265" s="88">
        <v>361</v>
      </c>
      <c r="D265" s="27"/>
      <c r="E265" s="27">
        <v>4000</v>
      </c>
      <c r="F265" s="27"/>
      <c r="G265" s="27">
        <f t="shared" si="186"/>
        <v>4000</v>
      </c>
      <c r="H265" s="27"/>
      <c r="I265" s="27">
        <f t="shared" si="188"/>
        <v>4000</v>
      </c>
      <c r="J265" s="27">
        <f t="shared" si="166"/>
        <v>4000</v>
      </c>
      <c r="K265" s="27"/>
      <c r="L265" s="300"/>
      <c r="M265" s="204"/>
      <c r="N265" s="204"/>
      <c r="O265" s="204"/>
      <c r="P265" s="204"/>
      <c r="Q265" s="204"/>
      <c r="R265" s="53"/>
      <c r="S265" s="30"/>
    </row>
    <row r="266" spans="1:22" s="22" customFormat="1" ht="94.5" x14ac:dyDescent="0.25">
      <c r="A266" s="24"/>
      <c r="B266" s="41" t="s">
        <v>548</v>
      </c>
      <c r="C266" s="88">
        <v>361</v>
      </c>
      <c r="D266" s="27"/>
      <c r="E266" s="27">
        <f>500+115*20+77*50+1300</f>
        <v>7950</v>
      </c>
      <c r="F266" s="27"/>
      <c r="G266" s="27">
        <f t="shared" si="186"/>
        <v>7950</v>
      </c>
      <c r="H266" s="27"/>
      <c r="I266" s="27">
        <f t="shared" si="188"/>
        <v>7950</v>
      </c>
      <c r="J266" s="27">
        <f t="shared" si="166"/>
        <v>7950</v>
      </c>
      <c r="K266" s="27"/>
      <c r="L266" s="300"/>
      <c r="M266" s="204"/>
      <c r="N266" s="204"/>
      <c r="O266" s="204"/>
      <c r="P266" s="204"/>
      <c r="Q266" s="204"/>
      <c r="R266" s="51"/>
      <c r="S266" s="30"/>
    </row>
    <row r="267" spans="1:22" s="22" customFormat="1" ht="41.25" customHeight="1" x14ac:dyDescent="0.25">
      <c r="A267" s="24"/>
      <c r="B267" s="41" t="s">
        <v>549</v>
      </c>
      <c r="C267" s="88">
        <v>361</v>
      </c>
      <c r="D267" s="27"/>
      <c r="E267" s="27">
        <v>15000</v>
      </c>
      <c r="F267" s="27"/>
      <c r="G267" s="27">
        <f t="shared" si="186"/>
        <v>15000</v>
      </c>
      <c r="H267" s="27"/>
      <c r="I267" s="27">
        <f t="shared" si="188"/>
        <v>15000</v>
      </c>
      <c r="J267" s="27">
        <f t="shared" ref="J267:J297" si="189">I267-K267</f>
        <v>15000</v>
      </c>
      <c r="K267" s="27"/>
      <c r="L267" s="300"/>
      <c r="M267" s="204"/>
      <c r="N267" s="204"/>
      <c r="O267" s="204"/>
      <c r="P267" s="204"/>
      <c r="Q267" s="204"/>
      <c r="R267" s="51"/>
      <c r="S267" s="30"/>
    </row>
    <row r="268" spans="1:22" s="22" customFormat="1" ht="63" x14ac:dyDescent="0.25">
      <c r="A268" s="24"/>
      <c r="B268" s="41" t="s">
        <v>550</v>
      </c>
      <c r="C268" s="88">
        <v>361</v>
      </c>
      <c r="D268" s="27"/>
      <c r="E268" s="27">
        <v>7950</v>
      </c>
      <c r="F268" s="27"/>
      <c r="G268" s="27">
        <f t="shared" si="186"/>
        <v>7950</v>
      </c>
      <c r="H268" s="27"/>
      <c r="I268" s="27">
        <f t="shared" si="188"/>
        <v>7950</v>
      </c>
      <c r="J268" s="27">
        <f t="shared" si="189"/>
        <v>7950</v>
      </c>
      <c r="K268" s="27"/>
      <c r="L268" s="300"/>
      <c r="M268" s="204"/>
      <c r="N268" s="204"/>
      <c r="O268" s="204"/>
      <c r="P268" s="204"/>
      <c r="Q268" s="204"/>
      <c r="R268" s="51"/>
      <c r="S268" s="30"/>
    </row>
    <row r="269" spans="1:22" s="22" customFormat="1" ht="77.25" customHeight="1" x14ac:dyDescent="0.25">
      <c r="A269" s="24"/>
      <c r="B269" s="41" t="s">
        <v>551</v>
      </c>
      <c r="C269" s="88">
        <v>361</v>
      </c>
      <c r="D269" s="27"/>
      <c r="E269" s="27">
        <f>1200+7*140+67*20+24*100</f>
        <v>5920</v>
      </c>
      <c r="F269" s="27"/>
      <c r="G269" s="27">
        <f t="shared" si="186"/>
        <v>5920</v>
      </c>
      <c r="H269" s="27"/>
      <c r="I269" s="27">
        <f t="shared" si="188"/>
        <v>5920</v>
      </c>
      <c r="J269" s="27">
        <f t="shared" si="189"/>
        <v>5920</v>
      </c>
      <c r="K269" s="27"/>
      <c r="L269" s="300"/>
      <c r="M269" s="204"/>
      <c r="N269" s="204"/>
      <c r="O269" s="204"/>
      <c r="P269" s="204"/>
      <c r="Q269" s="204"/>
      <c r="R269" s="51"/>
      <c r="S269" s="30"/>
    </row>
    <row r="270" spans="1:22" s="22" customFormat="1" ht="47.25" x14ac:dyDescent="0.25">
      <c r="A270" s="24"/>
      <c r="B270" s="41" t="s">
        <v>552</v>
      </c>
      <c r="C270" s="88">
        <v>361</v>
      </c>
      <c r="D270" s="27"/>
      <c r="E270" s="27">
        <v>7950</v>
      </c>
      <c r="F270" s="27"/>
      <c r="G270" s="27">
        <f t="shared" ref="G270:G271" si="190">SUM(D270:F270)</f>
        <v>7950</v>
      </c>
      <c r="H270" s="27"/>
      <c r="I270" s="27">
        <f t="shared" ref="I270:I271" si="191">G270-H270</f>
        <v>7950</v>
      </c>
      <c r="J270" s="27">
        <f t="shared" si="189"/>
        <v>7950</v>
      </c>
      <c r="K270" s="27"/>
      <c r="L270" s="300"/>
      <c r="M270" s="204"/>
      <c r="N270" s="204"/>
      <c r="O270" s="204"/>
      <c r="P270" s="204"/>
      <c r="Q270" s="204"/>
      <c r="R270" s="51"/>
      <c r="S270" s="30"/>
    </row>
    <row r="271" spans="1:22" s="22" customFormat="1" ht="67.5" customHeight="1" x14ac:dyDescent="0.25">
      <c r="A271" s="24"/>
      <c r="B271" s="41" t="s">
        <v>553</v>
      </c>
      <c r="C271" s="88">
        <v>361</v>
      </c>
      <c r="D271" s="27"/>
      <c r="E271" s="27">
        <v>3600</v>
      </c>
      <c r="F271" s="27"/>
      <c r="G271" s="27">
        <f t="shared" si="190"/>
        <v>3600</v>
      </c>
      <c r="H271" s="27"/>
      <c r="I271" s="27">
        <f t="shared" si="191"/>
        <v>3600</v>
      </c>
      <c r="J271" s="27">
        <f t="shared" si="189"/>
        <v>3600</v>
      </c>
      <c r="K271" s="27"/>
      <c r="L271" s="300"/>
      <c r="M271" s="204"/>
      <c r="N271" s="204"/>
      <c r="O271" s="204"/>
      <c r="P271" s="204"/>
      <c r="Q271" s="204"/>
      <c r="R271" s="51"/>
      <c r="S271" s="30"/>
    </row>
    <row r="272" spans="1:22" s="22" customFormat="1" ht="20.25" customHeight="1" x14ac:dyDescent="0.25">
      <c r="A272" s="45"/>
      <c r="B272" s="41" t="s">
        <v>111</v>
      </c>
      <c r="C272" s="88">
        <v>361</v>
      </c>
      <c r="D272" s="27"/>
      <c r="E272" s="27">
        <v>3950</v>
      </c>
      <c r="F272" s="27"/>
      <c r="G272" s="27">
        <f t="shared" si="186"/>
        <v>3950</v>
      </c>
      <c r="H272" s="27"/>
      <c r="I272" s="27">
        <f t="shared" si="188"/>
        <v>3950</v>
      </c>
      <c r="J272" s="27">
        <f t="shared" si="189"/>
        <v>3950</v>
      </c>
      <c r="K272" s="27"/>
      <c r="L272" s="300"/>
      <c r="M272" s="204"/>
      <c r="N272" s="204"/>
      <c r="O272" s="204"/>
      <c r="P272" s="204"/>
      <c r="Q272" s="204"/>
      <c r="S272" s="30"/>
    </row>
    <row r="273" spans="1:22" s="22" customFormat="1" ht="20.25" customHeight="1" x14ac:dyDescent="0.25">
      <c r="A273" s="45"/>
      <c r="B273" s="41" t="s">
        <v>604</v>
      </c>
      <c r="C273" s="88">
        <v>361</v>
      </c>
      <c r="D273" s="27"/>
      <c r="E273" s="27"/>
      <c r="F273" s="27">
        <v>26000</v>
      </c>
      <c r="G273" s="27">
        <f t="shared" ref="G273" si="192">SUM(D273:F273)</f>
        <v>26000</v>
      </c>
      <c r="H273" s="27"/>
      <c r="I273" s="27">
        <f t="shared" ref="I273" si="193">G273-H273</f>
        <v>26000</v>
      </c>
      <c r="J273" s="27">
        <f t="shared" ref="J273" si="194">I273-K273</f>
        <v>26000</v>
      </c>
      <c r="K273" s="27"/>
      <c r="L273" s="300"/>
      <c r="M273" s="204"/>
      <c r="N273" s="204"/>
      <c r="O273" s="204"/>
      <c r="P273" s="204"/>
      <c r="Q273" s="204"/>
      <c r="S273" s="30"/>
    </row>
    <row r="274" spans="1:22" s="22" customFormat="1" ht="63" x14ac:dyDescent="0.25">
      <c r="A274" s="45"/>
      <c r="B274" s="41" t="s">
        <v>633</v>
      </c>
      <c r="C274" s="88">
        <v>281</v>
      </c>
      <c r="D274" s="27"/>
      <c r="E274" s="27"/>
      <c r="F274" s="27">
        <v>90000</v>
      </c>
      <c r="G274" s="27">
        <f t="shared" ref="G274" si="195">SUM(D274:F274)</f>
        <v>90000</v>
      </c>
      <c r="H274" s="27"/>
      <c r="I274" s="27">
        <f t="shared" ref="I274" si="196">G274-H274</f>
        <v>90000</v>
      </c>
      <c r="J274" s="27">
        <f t="shared" ref="J274" si="197">I274-K274</f>
        <v>90000</v>
      </c>
      <c r="K274" s="27"/>
      <c r="L274" s="300"/>
      <c r="M274" s="204"/>
      <c r="N274" s="204"/>
      <c r="O274" s="204"/>
      <c r="P274" s="204"/>
      <c r="Q274" s="204"/>
      <c r="S274" s="30"/>
    </row>
    <row r="275" spans="1:22" s="22" customFormat="1" ht="31.5" x14ac:dyDescent="0.25">
      <c r="A275" s="45"/>
      <c r="B275" s="41" t="s">
        <v>637</v>
      </c>
      <c r="C275" s="88">
        <v>281</v>
      </c>
      <c r="D275" s="27"/>
      <c r="E275" s="27"/>
      <c r="F275" s="27">
        <v>12670</v>
      </c>
      <c r="G275" s="27">
        <f t="shared" ref="G275" si="198">SUM(D275:F275)</f>
        <v>12670</v>
      </c>
      <c r="H275" s="27">
        <f>G275</f>
        <v>12670</v>
      </c>
      <c r="I275" s="27">
        <f t="shared" ref="I275" si="199">G275-H275</f>
        <v>0</v>
      </c>
      <c r="J275" s="27">
        <f t="shared" ref="J275" si="200">I275-K275</f>
        <v>0</v>
      </c>
      <c r="K275" s="27"/>
      <c r="L275" s="300"/>
      <c r="M275" s="204"/>
      <c r="N275" s="204"/>
      <c r="O275" s="204"/>
      <c r="P275" s="204"/>
      <c r="Q275" s="204"/>
      <c r="S275" s="30"/>
    </row>
    <row r="276" spans="1:22" s="22" customFormat="1" ht="62.25" customHeight="1" x14ac:dyDescent="0.25">
      <c r="A276" s="45"/>
      <c r="B276" s="41" t="s">
        <v>719</v>
      </c>
      <c r="C276" s="88">
        <v>278</v>
      </c>
      <c r="D276" s="27"/>
      <c r="E276" s="27"/>
      <c r="F276" s="27">
        <v>60000</v>
      </c>
      <c r="G276" s="27">
        <f t="shared" ref="G276" si="201">SUM(D276:F276)</f>
        <v>60000</v>
      </c>
      <c r="H276" s="27">
        <v>0</v>
      </c>
      <c r="I276" s="27">
        <f t="shared" ref="I276:I277" si="202">G276-H276</f>
        <v>60000</v>
      </c>
      <c r="J276" s="27">
        <f t="shared" ref="J276:J277" si="203">I276-K276</f>
        <v>60000</v>
      </c>
      <c r="K276" s="27"/>
      <c r="L276" s="300"/>
      <c r="M276" s="204"/>
      <c r="N276" s="204"/>
      <c r="O276" s="204"/>
      <c r="P276" s="204"/>
      <c r="Q276" s="204"/>
      <c r="S276" s="30"/>
    </row>
    <row r="277" spans="1:22" ht="24" customHeight="1" x14ac:dyDescent="0.25">
      <c r="A277" s="61"/>
      <c r="B277" s="25" t="s">
        <v>693</v>
      </c>
      <c r="C277" s="88">
        <v>281</v>
      </c>
      <c r="D277" s="285"/>
      <c r="E277" s="287"/>
      <c r="F277" s="285">
        <v>19000</v>
      </c>
      <c r="G277" s="285">
        <f t="shared" ref="G277" si="204">SUM(D277:F277)</f>
        <v>19000</v>
      </c>
      <c r="H277" s="285">
        <f>G277</f>
        <v>19000</v>
      </c>
      <c r="I277" s="285">
        <f t="shared" si="202"/>
        <v>0</v>
      </c>
      <c r="J277" s="27">
        <f t="shared" si="203"/>
        <v>0</v>
      </c>
      <c r="K277" s="27"/>
      <c r="L277" s="300" t="s">
        <v>694</v>
      </c>
      <c r="M277" s="204"/>
      <c r="N277" s="204"/>
      <c r="O277" s="204"/>
      <c r="P277" s="204"/>
      <c r="Q277" s="204"/>
    </row>
    <row r="278" spans="1:22" ht="71.25" customHeight="1" x14ac:dyDescent="0.25">
      <c r="A278" s="61"/>
      <c r="B278" s="25" t="s">
        <v>702</v>
      </c>
      <c r="C278" s="88">
        <v>281</v>
      </c>
      <c r="D278" s="285"/>
      <c r="E278" s="287"/>
      <c r="F278" s="285">
        <v>93000</v>
      </c>
      <c r="G278" s="285">
        <f t="shared" ref="G278" si="205">SUM(D278:F278)</f>
        <v>93000</v>
      </c>
      <c r="H278" s="285"/>
      <c r="I278" s="285">
        <f t="shared" ref="I278:I279" si="206">G278-H278</f>
        <v>93000</v>
      </c>
      <c r="J278" s="27">
        <f t="shared" ref="J278:J279" si="207">I278-K278</f>
        <v>93000</v>
      </c>
      <c r="K278" s="27"/>
      <c r="L278" s="300" t="s">
        <v>694</v>
      </c>
      <c r="M278" s="204"/>
      <c r="N278" s="204"/>
      <c r="O278" s="204"/>
      <c r="P278" s="204"/>
      <c r="Q278" s="204"/>
    </row>
    <row r="279" spans="1:22" ht="37.5" customHeight="1" x14ac:dyDescent="0.25">
      <c r="A279" s="61"/>
      <c r="B279" s="25" t="s">
        <v>717</v>
      </c>
      <c r="C279" s="88">
        <v>281</v>
      </c>
      <c r="D279" s="285"/>
      <c r="E279" s="287"/>
      <c r="F279" s="285">
        <v>12000</v>
      </c>
      <c r="G279" s="285">
        <f t="shared" ref="G279" si="208">SUM(D279:F279)</f>
        <v>12000</v>
      </c>
      <c r="H279" s="285">
        <f>G279</f>
        <v>12000</v>
      </c>
      <c r="I279" s="285">
        <f t="shared" si="206"/>
        <v>0</v>
      </c>
      <c r="J279" s="27">
        <f t="shared" si="207"/>
        <v>0</v>
      </c>
      <c r="K279" s="27"/>
      <c r="L279" s="300"/>
      <c r="M279" s="204"/>
      <c r="N279" s="204"/>
      <c r="O279" s="204"/>
      <c r="P279" s="204"/>
      <c r="Q279" s="204"/>
    </row>
    <row r="280" spans="1:22" ht="16.5" x14ac:dyDescent="0.25">
      <c r="A280" s="14">
        <v>5</v>
      </c>
      <c r="B280" s="15" t="s">
        <v>113</v>
      </c>
      <c r="C280" s="15"/>
      <c r="D280" s="16">
        <f t="shared" ref="D280:K280" si="209">SUM(D281:D298)</f>
        <v>0</v>
      </c>
      <c r="E280" s="16">
        <f t="shared" si="209"/>
        <v>121780</v>
      </c>
      <c r="F280" s="16">
        <f t="shared" si="209"/>
        <v>138910</v>
      </c>
      <c r="G280" s="16">
        <f t="shared" si="209"/>
        <v>260690</v>
      </c>
      <c r="H280" s="318">
        <f t="shared" si="209"/>
        <v>193715</v>
      </c>
      <c r="I280" s="318">
        <f t="shared" si="209"/>
        <v>66975</v>
      </c>
      <c r="J280" s="318">
        <f t="shared" si="209"/>
        <v>66975</v>
      </c>
      <c r="K280" s="318">
        <f t="shared" si="209"/>
        <v>0</v>
      </c>
      <c r="L280" s="16">
        <f t="shared" ref="L280:Q280" si="210">SUM(L281:L298)</f>
        <v>0</v>
      </c>
      <c r="M280" s="16">
        <f t="shared" si="210"/>
        <v>0</v>
      </c>
      <c r="N280" s="16">
        <f t="shared" si="210"/>
        <v>0</v>
      </c>
      <c r="O280" s="16">
        <f t="shared" si="210"/>
        <v>0</v>
      </c>
      <c r="P280" s="16">
        <f t="shared" si="210"/>
        <v>0</v>
      </c>
      <c r="Q280" s="16">
        <f t="shared" si="210"/>
        <v>0</v>
      </c>
      <c r="R280" s="319">
        <f>S280-H280</f>
        <v>-13900</v>
      </c>
      <c r="S280" s="131">
        <f>SUM(S281:S283)</f>
        <v>179815</v>
      </c>
      <c r="T280" s="155">
        <f>G280-SUM(D280:F280)</f>
        <v>0</v>
      </c>
      <c r="U280" s="155">
        <f>G280-H280-I280</f>
        <v>0</v>
      </c>
      <c r="V280" s="155">
        <f>I280-J280-K280</f>
        <v>0</v>
      </c>
    </row>
    <row r="281" spans="1:22" s="22" customFormat="1" ht="31.5" x14ac:dyDescent="0.25">
      <c r="A281" s="24"/>
      <c r="B281" s="41" t="s">
        <v>554</v>
      </c>
      <c r="C281" s="88">
        <v>361</v>
      </c>
      <c r="D281" s="27"/>
      <c r="E281" s="27">
        <v>2000</v>
      </c>
      <c r="F281" s="27"/>
      <c r="G281" s="27">
        <f t="shared" ref="G281:G292" si="211">SUM(D281:F281)</f>
        <v>2000</v>
      </c>
      <c r="H281" s="27"/>
      <c r="I281" s="27">
        <f t="shared" ref="I281:I297" si="212">G281-H281</f>
        <v>2000</v>
      </c>
      <c r="J281" s="27">
        <f t="shared" si="189"/>
        <v>2000</v>
      </c>
      <c r="K281" s="27"/>
      <c r="L281" s="300"/>
      <c r="M281" s="204"/>
      <c r="N281" s="204"/>
      <c r="O281" s="204"/>
      <c r="P281" s="204"/>
      <c r="Q281" s="204"/>
      <c r="R281" s="22">
        <v>278</v>
      </c>
      <c r="S281" s="30">
        <v>0</v>
      </c>
    </row>
    <row r="282" spans="1:22" s="22" customFormat="1" ht="31.5" x14ac:dyDescent="0.25">
      <c r="A282" s="24"/>
      <c r="B282" s="41" t="s">
        <v>555</v>
      </c>
      <c r="C282" s="88">
        <v>361</v>
      </c>
      <c r="D282" s="27"/>
      <c r="E282" s="27">
        <v>800</v>
      </c>
      <c r="F282" s="27"/>
      <c r="G282" s="27">
        <f t="shared" si="211"/>
        <v>800</v>
      </c>
      <c r="H282" s="27"/>
      <c r="I282" s="27">
        <f t="shared" si="212"/>
        <v>800</v>
      </c>
      <c r="J282" s="27">
        <f t="shared" si="189"/>
        <v>800</v>
      </c>
      <c r="K282" s="27"/>
      <c r="L282" s="300"/>
      <c r="M282" s="204"/>
      <c r="N282" s="204"/>
      <c r="O282" s="204"/>
      <c r="P282" s="204"/>
      <c r="Q282" s="204"/>
      <c r="R282" s="22">
        <v>361</v>
      </c>
      <c r="S282" s="30">
        <v>179815</v>
      </c>
    </row>
    <row r="283" spans="1:22" s="22" customFormat="1" ht="31.5" x14ac:dyDescent="0.25">
      <c r="A283" s="24"/>
      <c r="B283" s="41" t="s">
        <v>556</v>
      </c>
      <c r="C283" s="88">
        <v>361</v>
      </c>
      <c r="D283" s="27"/>
      <c r="E283" s="27">
        <v>2000</v>
      </c>
      <c r="F283" s="27"/>
      <c r="G283" s="27">
        <f t="shared" si="211"/>
        <v>2000</v>
      </c>
      <c r="H283" s="27"/>
      <c r="I283" s="27">
        <f t="shared" si="212"/>
        <v>2000</v>
      </c>
      <c r="J283" s="27">
        <f t="shared" si="189"/>
        <v>2000</v>
      </c>
      <c r="K283" s="27"/>
      <c r="L283" s="300"/>
      <c r="M283" s="204"/>
      <c r="N283" s="204"/>
      <c r="O283" s="204"/>
      <c r="P283" s="204"/>
      <c r="Q283" s="204"/>
      <c r="S283" s="30"/>
    </row>
    <row r="284" spans="1:22" s="22" customFormat="1" ht="47.25" x14ac:dyDescent="0.25">
      <c r="A284" s="24"/>
      <c r="B284" s="41" t="s">
        <v>557</v>
      </c>
      <c r="C284" s="88">
        <v>361</v>
      </c>
      <c r="D284" s="27"/>
      <c r="E284" s="27">
        <v>2000</v>
      </c>
      <c r="F284" s="27"/>
      <c r="G284" s="27">
        <f t="shared" si="211"/>
        <v>2000</v>
      </c>
      <c r="H284" s="27"/>
      <c r="I284" s="27">
        <f t="shared" si="212"/>
        <v>2000</v>
      </c>
      <c r="J284" s="27">
        <f t="shared" si="189"/>
        <v>2000</v>
      </c>
      <c r="K284" s="27"/>
      <c r="L284" s="300"/>
      <c r="M284" s="204"/>
      <c r="N284" s="204"/>
      <c r="O284" s="204"/>
      <c r="P284" s="204"/>
      <c r="Q284" s="204"/>
      <c r="S284" s="30"/>
    </row>
    <row r="285" spans="1:22" s="22" customFormat="1" ht="31.5" x14ac:dyDescent="0.25">
      <c r="A285" s="24"/>
      <c r="B285" s="41" t="s">
        <v>558</v>
      </c>
      <c r="C285" s="88">
        <v>361</v>
      </c>
      <c r="D285" s="27"/>
      <c r="E285" s="27">
        <v>2000</v>
      </c>
      <c r="F285" s="27"/>
      <c r="G285" s="27">
        <f t="shared" si="211"/>
        <v>2000</v>
      </c>
      <c r="H285" s="27"/>
      <c r="I285" s="27">
        <f t="shared" si="212"/>
        <v>2000</v>
      </c>
      <c r="J285" s="27">
        <f t="shared" si="189"/>
        <v>2000</v>
      </c>
      <c r="K285" s="27"/>
      <c r="L285" s="300"/>
      <c r="M285" s="204"/>
      <c r="N285" s="204"/>
      <c r="O285" s="204"/>
      <c r="P285" s="204"/>
      <c r="Q285" s="204"/>
      <c r="S285" s="30"/>
    </row>
    <row r="286" spans="1:22" s="22" customFormat="1" ht="31.5" x14ac:dyDescent="0.25">
      <c r="A286" s="24"/>
      <c r="B286" s="41" t="s">
        <v>559</v>
      </c>
      <c r="C286" s="88">
        <v>361</v>
      </c>
      <c r="D286" s="27"/>
      <c r="E286" s="27">
        <v>1000</v>
      </c>
      <c r="F286" s="27"/>
      <c r="G286" s="27">
        <f t="shared" si="211"/>
        <v>1000</v>
      </c>
      <c r="H286" s="27"/>
      <c r="I286" s="27">
        <f t="shared" si="212"/>
        <v>1000</v>
      </c>
      <c r="J286" s="27">
        <f t="shared" si="189"/>
        <v>1000</v>
      </c>
      <c r="K286" s="27"/>
      <c r="L286" s="300"/>
      <c r="M286" s="204"/>
      <c r="N286" s="204"/>
      <c r="O286" s="204"/>
      <c r="P286" s="204"/>
      <c r="Q286" s="204"/>
      <c r="S286" s="30"/>
    </row>
    <row r="287" spans="1:22" s="22" customFormat="1" ht="47.25" x14ac:dyDescent="0.25">
      <c r="A287" s="24"/>
      <c r="B287" s="41" t="s">
        <v>560</v>
      </c>
      <c r="C287" s="88">
        <v>361</v>
      </c>
      <c r="D287" s="27"/>
      <c r="E287" s="27">
        <v>2000</v>
      </c>
      <c r="F287" s="27"/>
      <c r="G287" s="27">
        <f t="shared" si="211"/>
        <v>2000</v>
      </c>
      <c r="H287" s="27"/>
      <c r="I287" s="27">
        <f t="shared" si="212"/>
        <v>2000</v>
      </c>
      <c r="J287" s="27">
        <f t="shared" si="189"/>
        <v>2000</v>
      </c>
      <c r="K287" s="27"/>
      <c r="L287" s="300"/>
      <c r="M287" s="204"/>
      <c r="N287" s="204"/>
      <c r="O287" s="204"/>
      <c r="P287" s="204"/>
      <c r="Q287" s="204"/>
      <c r="S287" s="30"/>
    </row>
    <row r="288" spans="1:22" s="22" customFormat="1" ht="47.25" x14ac:dyDescent="0.25">
      <c r="A288" s="24"/>
      <c r="B288" s="41" t="s">
        <v>561</v>
      </c>
      <c r="C288" s="88">
        <v>361</v>
      </c>
      <c r="D288" s="27"/>
      <c r="E288" s="27">
        <v>2000</v>
      </c>
      <c r="F288" s="27"/>
      <c r="G288" s="27">
        <f t="shared" si="211"/>
        <v>2000</v>
      </c>
      <c r="H288" s="27"/>
      <c r="I288" s="27">
        <f t="shared" si="212"/>
        <v>2000</v>
      </c>
      <c r="J288" s="27">
        <f t="shared" si="189"/>
        <v>2000</v>
      </c>
      <c r="K288" s="27"/>
      <c r="L288" s="300"/>
      <c r="M288" s="204"/>
      <c r="N288" s="204"/>
      <c r="O288" s="204"/>
      <c r="P288" s="204"/>
      <c r="Q288" s="204"/>
      <c r="S288" s="30"/>
    </row>
    <row r="289" spans="1:22" s="22" customFormat="1" ht="31.5" x14ac:dyDescent="0.25">
      <c r="A289" s="24"/>
      <c r="B289" s="41" t="s">
        <v>562</v>
      </c>
      <c r="C289" s="88">
        <v>361</v>
      </c>
      <c r="D289" s="27"/>
      <c r="E289" s="27">
        <v>2000</v>
      </c>
      <c r="F289" s="27"/>
      <c r="G289" s="27">
        <f t="shared" si="211"/>
        <v>2000</v>
      </c>
      <c r="H289" s="27"/>
      <c r="I289" s="27">
        <f t="shared" si="212"/>
        <v>2000</v>
      </c>
      <c r="J289" s="27">
        <f t="shared" si="189"/>
        <v>2000</v>
      </c>
      <c r="K289" s="27"/>
      <c r="L289" s="300"/>
      <c r="M289" s="204"/>
      <c r="N289" s="204"/>
      <c r="O289" s="204"/>
      <c r="P289" s="204"/>
      <c r="Q289" s="204"/>
      <c r="S289" s="30"/>
    </row>
    <row r="290" spans="1:22" s="2" customFormat="1" ht="31.5" x14ac:dyDescent="0.25">
      <c r="A290" s="24"/>
      <c r="B290" s="41" t="s">
        <v>563</v>
      </c>
      <c r="C290" s="88">
        <v>361</v>
      </c>
      <c r="D290" s="27"/>
      <c r="E290" s="27">
        <f>30*120+30*10+30*20</f>
        <v>4500</v>
      </c>
      <c r="F290" s="27"/>
      <c r="G290" s="27">
        <f t="shared" si="211"/>
        <v>4500</v>
      </c>
      <c r="H290" s="27"/>
      <c r="I290" s="27">
        <f t="shared" si="212"/>
        <v>4500</v>
      </c>
      <c r="J290" s="27">
        <f t="shared" si="189"/>
        <v>4500</v>
      </c>
      <c r="K290" s="27"/>
      <c r="L290" s="300"/>
      <c r="M290" s="204"/>
      <c r="N290" s="204"/>
      <c r="O290" s="204"/>
      <c r="P290" s="204"/>
      <c r="Q290" s="204"/>
      <c r="S290" s="128"/>
    </row>
    <row r="291" spans="1:22" s="2" customFormat="1" ht="31.5" x14ac:dyDescent="0.25">
      <c r="A291" s="24"/>
      <c r="B291" s="41" t="s">
        <v>115</v>
      </c>
      <c r="C291" s="88">
        <v>361</v>
      </c>
      <c r="D291" s="27"/>
      <c r="E291" s="27">
        <v>16400</v>
      </c>
      <c r="F291" s="27"/>
      <c r="G291" s="27">
        <f t="shared" si="211"/>
        <v>16400</v>
      </c>
      <c r="H291" s="27">
        <f>G291</f>
        <v>16400</v>
      </c>
      <c r="I291" s="27">
        <f t="shared" si="212"/>
        <v>0</v>
      </c>
      <c r="J291" s="27">
        <f t="shared" si="189"/>
        <v>0</v>
      </c>
      <c r="K291" s="27"/>
      <c r="L291" s="300"/>
      <c r="M291" s="204"/>
      <c r="N291" s="204"/>
      <c r="O291" s="204"/>
      <c r="P291" s="204"/>
      <c r="Q291" s="204"/>
      <c r="S291" s="128"/>
    </row>
    <row r="292" spans="1:22" s="22" customFormat="1" x14ac:dyDescent="0.25">
      <c r="A292" s="24"/>
      <c r="B292" s="35" t="s">
        <v>564</v>
      </c>
      <c r="C292" s="88">
        <v>361</v>
      </c>
      <c r="D292" s="27"/>
      <c r="E292" s="27">
        <v>20700</v>
      </c>
      <c r="F292" s="27"/>
      <c r="G292" s="27">
        <f t="shared" si="211"/>
        <v>20700</v>
      </c>
      <c r="H292" s="27">
        <f>G292</f>
        <v>20700</v>
      </c>
      <c r="I292" s="27">
        <f t="shared" si="212"/>
        <v>0</v>
      </c>
      <c r="J292" s="27">
        <f t="shared" si="189"/>
        <v>0</v>
      </c>
      <c r="K292" s="27"/>
      <c r="L292" s="300"/>
      <c r="M292" s="204"/>
      <c r="N292" s="204"/>
      <c r="O292" s="204"/>
      <c r="P292" s="204"/>
      <c r="Q292" s="204"/>
      <c r="R292" s="51"/>
      <c r="S292" s="30"/>
    </row>
    <row r="293" spans="1:22" s="22" customFormat="1" x14ac:dyDescent="0.25">
      <c r="A293" s="24"/>
      <c r="B293" s="41" t="s">
        <v>114</v>
      </c>
      <c r="C293" s="88">
        <v>361</v>
      </c>
      <c r="D293" s="27"/>
      <c r="E293" s="27">
        <v>9000</v>
      </c>
      <c r="F293" s="27"/>
      <c r="G293" s="27">
        <f t="shared" ref="G293:G296" si="213">SUM(D293:F293)</f>
        <v>9000</v>
      </c>
      <c r="H293" s="27"/>
      <c r="I293" s="27">
        <f t="shared" ref="I293:I296" si="214">G293-H293</f>
        <v>9000</v>
      </c>
      <c r="J293" s="27">
        <f t="shared" si="189"/>
        <v>9000</v>
      </c>
      <c r="K293" s="27"/>
      <c r="L293" s="300"/>
      <c r="M293" s="204"/>
      <c r="N293" s="204"/>
      <c r="O293" s="204"/>
      <c r="P293" s="204"/>
      <c r="Q293" s="204"/>
      <c r="R293" s="51"/>
      <c r="S293" s="30"/>
    </row>
    <row r="294" spans="1:22" s="22" customFormat="1" ht="63" x14ac:dyDescent="0.25">
      <c r="A294" s="24"/>
      <c r="B294" s="41" t="s">
        <v>116</v>
      </c>
      <c r="C294" s="88">
        <v>361</v>
      </c>
      <c r="D294" s="27"/>
      <c r="E294" s="27">
        <v>18000</v>
      </c>
      <c r="F294" s="27"/>
      <c r="G294" s="27">
        <f t="shared" si="213"/>
        <v>18000</v>
      </c>
      <c r="H294" s="27">
        <v>16325</v>
      </c>
      <c r="I294" s="27">
        <f t="shared" si="214"/>
        <v>1675</v>
      </c>
      <c r="J294" s="27">
        <f t="shared" si="189"/>
        <v>1675</v>
      </c>
      <c r="K294" s="27"/>
      <c r="L294" s="300"/>
      <c r="M294" s="204"/>
      <c r="N294" s="204"/>
      <c r="O294" s="204"/>
      <c r="P294" s="204"/>
      <c r="Q294" s="204"/>
      <c r="R294" s="51"/>
      <c r="S294" s="30"/>
    </row>
    <row r="295" spans="1:22" s="22" customFormat="1" ht="31.5" x14ac:dyDescent="0.25">
      <c r="A295" s="24"/>
      <c r="B295" s="35" t="s">
        <v>117</v>
      </c>
      <c r="C295" s="88">
        <v>361</v>
      </c>
      <c r="D295" s="27"/>
      <c r="E295" s="27">
        <v>9000</v>
      </c>
      <c r="F295" s="27"/>
      <c r="G295" s="27">
        <f t="shared" si="213"/>
        <v>9000</v>
      </c>
      <c r="H295" s="27"/>
      <c r="I295" s="27">
        <f t="shared" si="214"/>
        <v>9000</v>
      </c>
      <c r="J295" s="27">
        <f t="shared" si="189"/>
        <v>9000</v>
      </c>
      <c r="K295" s="27"/>
      <c r="L295" s="300"/>
      <c r="M295" s="204"/>
      <c r="N295" s="204"/>
      <c r="O295" s="204"/>
      <c r="P295" s="204"/>
      <c r="Q295" s="204"/>
      <c r="R295" s="51"/>
      <c r="S295" s="30"/>
    </row>
    <row r="296" spans="1:22" s="22" customFormat="1" ht="47.25" x14ac:dyDescent="0.25">
      <c r="A296" s="24"/>
      <c r="B296" s="35" t="s">
        <v>565</v>
      </c>
      <c r="C296" s="88">
        <v>361</v>
      </c>
      <c r="D296" s="27"/>
      <c r="E296" s="27">
        <f>17700+(12*400+24*200+36*30)</f>
        <v>28380</v>
      </c>
      <c r="F296" s="27"/>
      <c r="G296" s="27">
        <f t="shared" si="213"/>
        <v>28380</v>
      </c>
      <c r="H296" s="27">
        <f>G296</f>
        <v>28380</v>
      </c>
      <c r="I296" s="27">
        <f t="shared" si="214"/>
        <v>0</v>
      </c>
      <c r="J296" s="27">
        <f t="shared" si="189"/>
        <v>0</v>
      </c>
      <c r="K296" s="27"/>
      <c r="L296" s="300"/>
      <c r="M296" s="204"/>
      <c r="N296" s="204"/>
      <c r="O296" s="204"/>
      <c r="P296" s="204"/>
      <c r="Q296" s="204"/>
      <c r="R296" s="51"/>
      <c r="S296" s="30"/>
    </row>
    <row r="297" spans="1:22" s="22" customFormat="1" ht="31.5" x14ac:dyDescent="0.25">
      <c r="A297" s="45"/>
      <c r="B297" s="41" t="s">
        <v>659</v>
      </c>
      <c r="C297" s="88">
        <v>278</v>
      </c>
      <c r="D297" s="27"/>
      <c r="E297" s="27"/>
      <c r="F297" s="27">
        <v>27000</v>
      </c>
      <c r="G297" s="27">
        <f t="shared" ref="G297" si="215">SUM(D297:F297)</f>
        <v>27000</v>
      </c>
      <c r="H297" s="27">
        <v>0</v>
      </c>
      <c r="I297" s="27">
        <f t="shared" si="212"/>
        <v>27000</v>
      </c>
      <c r="J297" s="27">
        <f t="shared" si="189"/>
        <v>27000</v>
      </c>
      <c r="K297" s="27"/>
      <c r="L297" s="300"/>
      <c r="M297" s="204"/>
      <c r="N297" s="204"/>
      <c r="O297" s="204"/>
      <c r="P297" s="204"/>
      <c r="Q297" s="204"/>
      <c r="S297" s="30"/>
    </row>
    <row r="298" spans="1:22" s="22" customFormat="1" ht="47.25" x14ac:dyDescent="0.25">
      <c r="A298" s="45"/>
      <c r="B298" s="41" t="s">
        <v>687</v>
      </c>
      <c r="C298" s="88">
        <v>361</v>
      </c>
      <c r="D298" s="27"/>
      <c r="E298" s="27"/>
      <c r="F298" s="27">
        <v>111910</v>
      </c>
      <c r="G298" s="27">
        <f t="shared" ref="G298" si="216">SUM(D298:F298)</f>
        <v>111910</v>
      </c>
      <c r="H298" s="27">
        <f>G298</f>
        <v>111910</v>
      </c>
      <c r="I298" s="27">
        <f t="shared" ref="I298" si="217">G298-H298</f>
        <v>0</v>
      </c>
      <c r="J298" s="27">
        <f t="shared" ref="J298" si="218">I298-K298</f>
        <v>0</v>
      </c>
      <c r="K298" s="27"/>
      <c r="L298" s="300" t="s">
        <v>692</v>
      </c>
      <c r="M298" s="204"/>
      <c r="N298" s="204"/>
      <c r="O298" s="204"/>
      <c r="P298" s="204"/>
      <c r="Q298" s="204"/>
      <c r="S298" s="30"/>
    </row>
    <row r="299" spans="1:22" s="22" customFormat="1" ht="16.5" x14ac:dyDescent="0.25">
      <c r="A299" s="14">
        <v>6</v>
      </c>
      <c r="B299" s="15" t="s">
        <v>119</v>
      </c>
      <c r="C299" s="15"/>
      <c r="D299" s="16">
        <f t="shared" ref="D299:Q299" si="219">D300</f>
        <v>0</v>
      </c>
      <c r="E299" s="16">
        <f t="shared" si="219"/>
        <v>36000</v>
      </c>
      <c r="F299" s="16">
        <f t="shared" si="219"/>
        <v>0</v>
      </c>
      <c r="G299" s="16">
        <f t="shared" si="219"/>
        <v>36000</v>
      </c>
      <c r="H299" s="16">
        <f t="shared" si="219"/>
        <v>0</v>
      </c>
      <c r="I299" s="16">
        <f t="shared" si="219"/>
        <v>36000</v>
      </c>
      <c r="J299" s="16">
        <f t="shared" si="219"/>
        <v>0</v>
      </c>
      <c r="K299" s="16">
        <f t="shared" si="219"/>
        <v>36000</v>
      </c>
      <c r="L299" s="16">
        <f t="shared" si="219"/>
        <v>0</v>
      </c>
      <c r="M299" s="16">
        <f t="shared" si="219"/>
        <v>36000</v>
      </c>
      <c r="N299" s="16">
        <f t="shared" si="219"/>
        <v>0</v>
      </c>
      <c r="O299" s="16">
        <f t="shared" si="219"/>
        <v>0</v>
      </c>
      <c r="P299" s="16">
        <f t="shared" si="219"/>
        <v>0</v>
      </c>
      <c r="Q299" s="16">
        <f t="shared" si="219"/>
        <v>0</v>
      </c>
      <c r="R299" s="54">
        <f>E299-'[2]CHI CẤP HUYỆN'!K33</f>
        <v>0</v>
      </c>
      <c r="S299" s="30"/>
      <c r="T299" s="155">
        <f>G299-SUM(D299:F299)</f>
        <v>0</v>
      </c>
      <c r="U299" s="155">
        <f>G299-H299-I299</f>
        <v>0</v>
      </c>
      <c r="V299" s="155">
        <f>I299-J299-K299</f>
        <v>0</v>
      </c>
    </row>
    <row r="300" spans="1:22" s="22" customFormat="1" ht="26.25" customHeight="1" x14ac:dyDescent="0.25">
      <c r="A300" s="39"/>
      <c r="B300" s="32" t="s">
        <v>120</v>
      </c>
      <c r="C300" s="88">
        <v>361</v>
      </c>
      <c r="D300" s="40"/>
      <c r="E300" s="40">
        <v>36000</v>
      </c>
      <c r="F300" s="40"/>
      <c r="G300" s="27">
        <f t="shared" ref="G300" si="220">SUM(D300:F300)</f>
        <v>36000</v>
      </c>
      <c r="H300" s="27"/>
      <c r="I300" s="27">
        <f t="shared" ref="I300" si="221">G300-H300</f>
        <v>36000</v>
      </c>
      <c r="J300" s="27">
        <f t="shared" ref="J300" si="222">I300-K300</f>
        <v>0</v>
      </c>
      <c r="K300" s="27">
        <f>I300</f>
        <v>36000</v>
      </c>
      <c r="L300" s="300"/>
      <c r="M300" s="204">
        <f>K300</f>
        <v>36000</v>
      </c>
      <c r="N300" s="204"/>
      <c r="O300" s="204"/>
      <c r="P300" s="204"/>
      <c r="Q300" s="204"/>
      <c r="S300" s="30"/>
    </row>
    <row r="301" spans="1:22" ht="23.25" customHeight="1" x14ac:dyDescent="0.25">
      <c r="A301" s="48" t="s">
        <v>121</v>
      </c>
      <c r="B301" s="49" t="s">
        <v>122</v>
      </c>
      <c r="C301" s="49"/>
      <c r="D301" s="50">
        <f t="shared" ref="D301:Q301" si="223">D302+D320+D345+D352+D358</f>
        <v>0</v>
      </c>
      <c r="E301" s="50">
        <f t="shared" si="223"/>
        <v>33035084</v>
      </c>
      <c r="F301" s="50">
        <f t="shared" si="223"/>
        <v>4918161.4139999999</v>
      </c>
      <c r="G301" s="50">
        <f t="shared" si="223"/>
        <v>37953245.414000005</v>
      </c>
      <c r="H301" s="50">
        <f t="shared" si="223"/>
        <v>21634555.990999997</v>
      </c>
      <c r="I301" s="50">
        <f t="shared" si="223"/>
        <v>16318689.423</v>
      </c>
      <c r="J301" s="50">
        <f t="shared" si="223"/>
        <v>15192378.822999999</v>
      </c>
      <c r="K301" s="50">
        <f t="shared" si="223"/>
        <v>1126310.6000000001</v>
      </c>
      <c r="L301" s="303">
        <f t="shared" si="223"/>
        <v>0</v>
      </c>
      <c r="M301" s="50">
        <f t="shared" si="223"/>
        <v>0</v>
      </c>
      <c r="N301" s="50">
        <f t="shared" si="223"/>
        <v>855591.6</v>
      </c>
      <c r="O301" s="50">
        <f t="shared" si="223"/>
        <v>229854</v>
      </c>
      <c r="P301" s="50">
        <f t="shared" si="223"/>
        <v>40865</v>
      </c>
      <c r="Q301" s="50">
        <f t="shared" si="223"/>
        <v>0</v>
      </c>
      <c r="R301" s="8"/>
      <c r="T301" s="155">
        <f>G301-SUM(D301:F301)</f>
        <v>0</v>
      </c>
      <c r="U301" s="155">
        <f>G301-H301-I301</f>
        <v>0</v>
      </c>
      <c r="V301" s="155">
        <f>I301-J301-K301</f>
        <v>0</v>
      </c>
    </row>
    <row r="302" spans="1:22" ht="20.25" customHeight="1" x14ac:dyDescent="0.25">
      <c r="A302" s="55">
        <v>1</v>
      </c>
      <c r="B302" s="56" t="s">
        <v>123</v>
      </c>
      <c r="C302" s="56"/>
      <c r="D302" s="16">
        <f t="shared" ref="D302:Q302" si="224">D303+D311</f>
        <v>0</v>
      </c>
      <c r="E302" s="16">
        <f t="shared" si="224"/>
        <v>28265034</v>
      </c>
      <c r="F302" s="16">
        <f t="shared" si="224"/>
        <v>-5909962.5860000001</v>
      </c>
      <c r="G302" s="16">
        <f t="shared" si="224"/>
        <v>22355071.414000001</v>
      </c>
      <c r="H302" s="16">
        <f t="shared" si="224"/>
        <v>10348633.085999999</v>
      </c>
      <c r="I302" s="16">
        <f t="shared" si="224"/>
        <v>12006438.328</v>
      </c>
      <c r="J302" s="16">
        <f t="shared" si="224"/>
        <v>11150946.727999998</v>
      </c>
      <c r="K302" s="16">
        <f t="shared" si="224"/>
        <v>855491.6</v>
      </c>
      <c r="L302" s="299">
        <f t="shared" si="224"/>
        <v>0</v>
      </c>
      <c r="M302" s="16">
        <f t="shared" si="224"/>
        <v>0</v>
      </c>
      <c r="N302" s="16">
        <f t="shared" si="224"/>
        <v>855491.6</v>
      </c>
      <c r="O302" s="16">
        <f t="shared" si="224"/>
        <v>0</v>
      </c>
      <c r="P302" s="16">
        <f t="shared" si="224"/>
        <v>0</v>
      </c>
      <c r="Q302" s="16">
        <f t="shared" si="224"/>
        <v>0</v>
      </c>
      <c r="R302" s="54"/>
      <c r="T302" s="155">
        <f>G302-SUM(D302:F302)</f>
        <v>0</v>
      </c>
      <c r="U302" s="155">
        <f>G302-H302-I302</f>
        <v>0</v>
      </c>
      <c r="V302" s="155">
        <f>I302-J302-K302</f>
        <v>1.5133991837501526E-9</v>
      </c>
    </row>
    <row r="303" spans="1:22" s="60" customFormat="1" ht="21" customHeight="1" x14ac:dyDescent="0.25">
      <c r="A303" s="57" t="s">
        <v>9</v>
      </c>
      <c r="B303" s="58" t="s">
        <v>124</v>
      </c>
      <c r="C303" s="58"/>
      <c r="D303" s="59">
        <f t="shared" ref="D303:Q303" si="225">SUM(D304:D310)</f>
        <v>0</v>
      </c>
      <c r="E303" s="59">
        <f t="shared" si="225"/>
        <v>27104034</v>
      </c>
      <c r="F303" s="59">
        <f t="shared" si="225"/>
        <v>-5865734.3859999999</v>
      </c>
      <c r="G303" s="59">
        <f t="shared" si="225"/>
        <v>21238299.614</v>
      </c>
      <c r="H303" s="59">
        <f t="shared" si="225"/>
        <v>9417258.0419999994</v>
      </c>
      <c r="I303" s="59">
        <f t="shared" si="225"/>
        <v>11821041.572000001</v>
      </c>
      <c r="J303" s="59">
        <f t="shared" si="225"/>
        <v>10965549.971999999</v>
      </c>
      <c r="K303" s="59">
        <f t="shared" si="225"/>
        <v>855491.6</v>
      </c>
      <c r="L303" s="305">
        <f t="shared" si="225"/>
        <v>0</v>
      </c>
      <c r="M303" s="59">
        <f t="shared" si="225"/>
        <v>0</v>
      </c>
      <c r="N303" s="59">
        <f t="shared" si="225"/>
        <v>855491.6</v>
      </c>
      <c r="O303" s="59">
        <f t="shared" si="225"/>
        <v>0</v>
      </c>
      <c r="P303" s="59">
        <f t="shared" si="225"/>
        <v>0</v>
      </c>
      <c r="Q303" s="59">
        <f t="shared" si="225"/>
        <v>0</v>
      </c>
      <c r="R303" s="43" t="e">
        <f>K303-#REF!-SNGD!K4</f>
        <v>#REF!</v>
      </c>
      <c r="S303" s="126"/>
      <c r="T303" s="155">
        <f>G303-SUM(D303:F303)</f>
        <v>0</v>
      </c>
      <c r="U303" s="155">
        <f>G303-H303-I303</f>
        <v>0</v>
      </c>
      <c r="V303" s="155">
        <f>I303-J303-K303</f>
        <v>1.5133991837501526E-9</v>
      </c>
    </row>
    <row r="304" spans="1:22" s="22" customFormat="1" ht="33.75" customHeight="1" x14ac:dyDescent="0.25">
      <c r="A304" s="61"/>
      <c r="B304" s="25" t="s">
        <v>125</v>
      </c>
      <c r="C304" s="25"/>
      <c r="D304" s="62"/>
      <c r="E304" s="62">
        <v>762514</v>
      </c>
      <c r="F304" s="62"/>
      <c r="G304" s="62">
        <f>SUM(D304:F304)</f>
        <v>762514</v>
      </c>
      <c r="H304" s="62">
        <f>SNGD!H62+SNGD!H67+SNGD!H69+SNGD!H72+SNGD!H76+SNGD!H79+SNGD!H83+SNGD!H86+SNGD!H88+SNGD!H91+SNGD!H95+SNGD!H99+SNGD!H102+SNGD!H104+SNGD!H108+SNGD!H111+SNGD!H116+SNGD!H119+SNGD!H125+SNGD!H130+SNGD!H134+SNGD!H138+SNGD!H142+SNGD!H148+SNGD!H151+SNGD!H155+SNGD!H159+SNGD!H164</f>
        <v>342702.44200000004</v>
      </c>
      <c r="I304" s="62">
        <f>G304-H304</f>
        <v>419811.55799999996</v>
      </c>
      <c r="J304" s="27">
        <f t="shared" ref="J304:J310" si="226">I304-K304</f>
        <v>412863.55799999996</v>
      </c>
      <c r="K304" s="62">
        <f>SNGD!K62+SNGD!K67+SNGD!K69+SNGD!K72+SNGD!K76+SNGD!K79+SNGD!K83+SNGD!K86+SNGD!K88+SNGD!K91+SNGD!K95+SNGD!K99+SNGD!K102+SNGD!K104+SNGD!K108+SNGD!K111+SNGD!K116+SNGD!K119+SNGD!K125+SNGD!K130+SNGD!K134+SNGD!K138+SNGD!K142+SNGD!K148+SNGD!K151+SNGD!K155+SNGD!K159+SNGD!K164</f>
        <v>6948</v>
      </c>
      <c r="L304" s="306"/>
      <c r="M304" s="206"/>
      <c r="N304" s="206">
        <f>K304</f>
        <v>6948</v>
      </c>
      <c r="O304" s="206"/>
      <c r="P304" s="206"/>
      <c r="Q304" s="206"/>
      <c r="S304" s="30"/>
    </row>
    <row r="305" spans="1:22" s="22" customFormat="1" ht="35.25" customHeight="1" x14ac:dyDescent="0.25">
      <c r="A305" s="61"/>
      <c r="B305" s="63" t="s">
        <v>126</v>
      </c>
      <c r="C305" s="63"/>
      <c r="D305" s="62"/>
      <c r="E305" s="62">
        <v>149760</v>
      </c>
      <c r="F305" s="62"/>
      <c r="G305" s="62">
        <f t="shared" ref="G305:G310" si="227">SUM(D305:F305)</f>
        <v>149760</v>
      </c>
      <c r="H305" s="62">
        <f>SNGD!H6+SNGD!H10+SNGD!H16+SNGD!H20+SNGD!H24+SNGD!H28+SNGD!H31+SNGD!H35+SNGD!H39+SNGD!H43+SNGD!H46+SNGD!H52+SNGD!H54+SNGD!H58</f>
        <v>37920</v>
      </c>
      <c r="I305" s="62">
        <f t="shared" ref="I305:I308" si="228">G305-H305</f>
        <v>111840</v>
      </c>
      <c r="J305" s="27">
        <f t="shared" si="226"/>
        <v>111840</v>
      </c>
      <c r="K305" s="62">
        <f>SNGD!K6+SNGD!K10+SNGD!K16+SNGD!K20+SNGD!K24+SNGD!K28+SNGD!K31+SNGD!K35+SNGD!K39+SNGD!K43+SNGD!K46+SNGD!K52+SNGD!K54+SNGD!K58</f>
        <v>0</v>
      </c>
      <c r="L305" s="306"/>
      <c r="M305" s="206"/>
      <c r="N305" s="206">
        <f t="shared" ref="N305:N310" si="229">K305</f>
        <v>0</v>
      </c>
      <c r="O305" s="206"/>
      <c r="P305" s="206"/>
      <c r="Q305" s="206"/>
      <c r="S305" s="30"/>
    </row>
    <row r="306" spans="1:22" s="22" customFormat="1" ht="19.5" customHeight="1" x14ac:dyDescent="0.25">
      <c r="A306" s="61"/>
      <c r="B306" s="63" t="s">
        <v>127</v>
      </c>
      <c r="C306" s="63"/>
      <c r="D306" s="62"/>
      <c r="E306" s="62">
        <v>53840</v>
      </c>
      <c r="F306" s="62"/>
      <c r="G306" s="62">
        <f t="shared" si="227"/>
        <v>53840</v>
      </c>
      <c r="H306" s="62">
        <f>SNGD!H92+SNGD!H143+SNGD!H156</f>
        <v>14400</v>
      </c>
      <c r="I306" s="62">
        <f t="shared" si="228"/>
        <v>39440</v>
      </c>
      <c r="J306" s="27">
        <f t="shared" si="226"/>
        <v>26480</v>
      </c>
      <c r="K306" s="62">
        <f>SNGD!K120</f>
        <v>12960</v>
      </c>
      <c r="L306" s="306"/>
      <c r="M306" s="206"/>
      <c r="N306" s="206">
        <f t="shared" si="229"/>
        <v>12960</v>
      </c>
      <c r="O306" s="206"/>
      <c r="P306" s="206"/>
      <c r="Q306" s="206"/>
      <c r="S306" s="30"/>
    </row>
    <row r="307" spans="1:22" s="22" customFormat="1" ht="20.25" customHeight="1" x14ac:dyDescent="0.25">
      <c r="A307" s="61"/>
      <c r="B307" s="63" t="s">
        <v>598</v>
      </c>
      <c r="C307" s="63"/>
      <c r="D307" s="62"/>
      <c r="E307" s="62">
        <v>8585300</v>
      </c>
      <c r="F307" s="62"/>
      <c r="G307" s="62">
        <f t="shared" si="227"/>
        <v>8585300</v>
      </c>
      <c r="H307" s="62">
        <f>SNGD!H7+SNGD!H11+SNGD!H17+SNGD!H21+SNGD!H25+SNGD!H36+SNGD!H40+SNGD!H44+SNGD!H47+SNGD!H55+SNGD!H59+SNGD!H63+SNGD!H70+SNGD!H73+SNGD!H77+SNGD!H80+SNGD!H89+SNGD!H96+SNGD!H100+SNGD!H109+SNGD!H112+SNGD!H117+SNGD!H121+SNGD!H126+SNGD!H131+SNGD!H135+SNGD!H139+SNGD!H144+SNGD!H152+SNGD!H160+SNGD!H165</f>
        <v>7448320.7000000002</v>
      </c>
      <c r="I307" s="62">
        <f t="shared" si="228"/>
        <v>1136979.2999999998</v>
      </c>
      <c r="J307" s="27">
        <f t="shared" si="226"/>
        <v>508692.29999999981</v>
      </c>
      <c r="K307" s="62">
        <f>SNGD!K7+SNGD!K11+SNGD!K17+SNGD!K21+SNGD!K25+SNGD!K36+SNGD!K40+SNGD!K44+SNGD!K47+SNGD!K55+SNGD!K59+SNGD!K63+SNGD!K70+SNGD!K73+SNGD!K77+SNGD!K80+SNGD!K89+SNGD!K96+SNGD!K100+SNGD!K109+SNGD!K112+SNGD!K117+SNGD!K121+SNGD!K126+SNGD!K131+SNGD!K135+SNGD!K139+SNGD!K144+SNGD!K152+SNGD!K160+SNGD!K165</f>
        <v>628287</v>
      </c>
      <c r="L307" s="306"/>
      <c r="M307" s="206"/>
      <c r="N307" s="206">
        <f t="shared" si="229"/>
        <v>628287</v>
      </c>
      <c r="O307" s="206"/>
      <c r="P307" s="206"/>
      <c r="Q307" s="206"/>
      <c r="R307" s="54">
        <f>G307-H307-I307</f>
        <v>0</v>
      </c>
      <c r="S307" s="30"/>
    </row>
    <row r="308" spans="1:22" s="22" customFormat="1" ht="20.25" customHeight="1" x14ac:dyDescent="0.25">
      <c r="A308" s="61"/>
      <c r="B308" s="63" t="s">
        <v>597</v>
      </c>
      <c r="C308" s="63"/>
      <c r="D308" s="62"/>
      <c r="E308" s="62">
        <v>1674350</v>
      </c>
      <c r="F308" s="62"/>
      <c r="G308" s="62">
        <f t="shared" si="227"/>
        <v>1674350</v>
      </c>
      <c r="H308" s="62">
        <f>SNGD!H12+SNGD!H48+SNGD!H64+SNGD!H74+SNGD!H81+SNGD!H97+SNGD!H122+SNGD!H127+SNGD!H161</f>
        <v>1313201.3999999999</v>
      </c>
      <c r="I308" s="62">
        <f t="shared" si="228"/>
        <v>361148.60000000009</v>
      </c>
      <c r="J308" s="27">
        <f t="shared" si="226"/>
        <v>153852.00000000009</v>
      </c>
      <c r="K308" s="62">
        <f>SNGD!K12+SNGD!K48+SNGD!K64+SNGD!K74+SNGD!K81+SNGD!K97+SNGD!K122+SNGD!K127+SNGD!K161</f>
        <v>207296.6</v>
      </c>
      <c r="L308" s="306"/>
      <c r="M308" s="206"/>
      <c r="N308" s="206">
        <f t="shared" si="229"/>
        <v>207296.6</v>
      </c>
      <c r="O308" s="206"/>
      <c r="P308" s="206"/>
      <c r="Q308" s="206"/>
      <c r="R308" s="54"/>
      <c r="S308" s="30"/>
    </row>
    <row r="309" spans="1:22" s="22" customFormat="1" ht="37.5" customHeight="1" x14ac:dyDescent="0.25">
      <c r="A309" s="61"/>
      <c r="B309" s="63" t="s">
        <v>617</v>
      </c>
      <c r="C309" s="63"/>
      <c r="D309" s="62"/>
      <c r="E309" s="62">
        <v>2000000</v>
      </c>
      <c r="F309" s="62">
        <f>-435700+8000</f>
        <v>-427700</v>
      </c>
      <c r="G309" s="62">
        <f t="shared" si="227"/>
        <v>1572300</v>
      </c>
      <c r="H309" s="62">
        <f>SNGD!H32</f>
        <v>8000</v>
      </c>
      <c r="I309" s="62">
        <f t="shared" ref="I309:I310" si="230">G309-H309</f>
        <v>1564300</v>
      </c>
      <c r="J309" s="27">
        <f t="shared" si="226"/>
        <v>1564300</v>
      </c>
      <c r="K309" s="27"/>
      <c r="L309" s="300"/>
      <c r="M309" s="204"/>
      <c r="N309" s="206">
        <f t="shared" si="229"/>
        <v>0</v>
      </c>
      <c r="O309" s="204"/>
      <c r="P309" s="204"/>
      <c r="Q309" s="204"/>
      <c r="R309" s="54"/>
      <c r="S309" s="30"/>
    </row>
    <row r="310" spans="1:22" s="22" customFormat="1" ht="71.25" customHeight="1" x14ac:dyDescent="0.25">
      <c r="A310" s="61"/>
      <c r="B310" s="63" t="s">
        <v>618</v>
      </c>
      <c r="C310" s="63"/>
      <c r="D310" s="62"/>
      <c r="E310" s="62">
        <v>13878270</v>
      </c>
      <c r="F310" s="62">
        <v>-5438034.3859999999</v>
      </c>
      <c r="G310" s="62">
        <f t="shared" si="227"/>
        <v>8440235.6140000001</v>
      </c>
      <c r="H310" s="62">
        <f>SNGD!H8+SNGD!H13+SNGD!H14+SNGD!H18+SNGD!H22+SNGD!H26+SNGD!H29+SNGD!H33+SNGD!H37+SNGD!H41+SNGD!H49+SNGD!H50+SNGD!H56+SNGD!H60+SNGD!H84+SNGD!H93+SNGD!H106+SNGD!H113+SNGD!H114+SNGD!H128+SNGD!H132+SNGD!H136+SNGD!H140+SNGD!H145+SNGD!H146+SNGD!H149+SNGD!H153+SNGD!H157+SNGD!H162</f>
        <v>252713.5</v>
      </c>
      <c r="I310" s="62">
        <f t="shared" si="230"/>
        <v>8187522.1140000001</v>
      </c>
      <c r="J310" s="27">
        <f t="shared" si="226"/>
        <v>8187522.1140000001</v>
      </c>
      <c r="K310" s="27">
        <f>SNGD!K8++SNGD!K13+SNGD!K14+SNGD!K18+SNGD!K22+SNGD!K26+SNGD!K29+SNGD!K33+SNGD!K37+SNGD!K41+SNGD!K49+SNGD!K50+SNGD!K56+SNGD!K60+SNGD!K84+SNGD!K93+SNGD!K106+SNGD!K113+SNGD!K114+SNGD!K123+SNGD!K128+SNGD!K132+SNGD!K136+SNGD!K140+SNGD!K145+SNGD!K146+SNGD!K149+SNGD!K153+SNGD!K157+SNGD!K162</f>
        <v>0</v>
      </c>
      <c r="L310" s="300"/>
      <c r="M310" s="204"/>
      <c r="N310" s="206">
        <f t="shared" si="229"/>
        <v>0</v>
      </c>
      <c r="O310" s="204"/>
      <c r="P310" s="204"/>
      <c r="Q310" s="204"/>
      <c r="R310" s="54"/>
      <c r="S310" s="30"/>
    </row>
    <row r="311" spans="1:22" s="23" customFormat="1" ht="19.5" customHeight="1" x14ac:dyDescent="0.25">
      <c r="A311" s="65" t="s">
        <v>20</v>
      </c>
      <c r="B311" s="66" t="s">
        <v>128</v>
      </c>
      <c r="C311" s="66"/>
      <c r="D311" s="67">
        <f t="shared" ref="D311:Q311" si="231">D312+D317</f>
        <v>0</v>
      </c>
      <c r="E311" s="67">
        <f t="shared" si="231"/>
        <v>1161000</v>
      </c>
      <c r="F311" s="67">
        <f t="shared" si="231"/>
        <v>-44228.2</v>
      </c>
      <c r="G311" s="67">
        <f t="shared" si="231"/>
        <v>1116771.8</v>
      </c>
      <c r="H311" s="67">
        <f t="shared" si="231"/>
        <v>931375.04399999999</v>
      </c>
      <c r="I311" s="67">
        <f t="shared" si="231"/>
        <v>185396.75599999999</v>
      </c>
      <c r="J311" s="67">
        <f t="shared" si="231"/>
        <v>185396.75599999999</v>
      </c>
      <c r="K311" s="67">
        <f t="shared" si="231"/>
        <v>0</v>
      </c>
      <c r="L311" s="307">
        <f t="shared" si="231"/>
        <v>0</v>
      </c>
      <c r="M311" s="67">
        <f t="shared" si="231"/>
        <v>0</v>
      </c>
      <c r="N311" s="67">
        <f t="shared" si="231"/>
        <v>0</v>
      </c>
      <c r="O311" s="67">
        <f t="shared" si="231"/>
        <v>0</v>
      </c>
      <c r="P311" s="67">
        <f t="shared" si="231"/>
        <v>0</v>
      </c>
      <c r="Q311" s="67">
        <f t="shared" si="231"/>
        <v>0</v>
      </c>
      <c r="R311" s="68">
        <f>E311-'[2]CHI CẤP HUYỆN'!K53</f>
        <v>41000</v>
      </c>
      <c r="S311" s="126"/>
      <c r="T311" s="155">
        <f>G311-SUM(D311:F311)</f>
        <v>0</v>
      </c>
      <c r="U311" s="155">
        <f>G311-H311-I311</f>
        <v>0</v>
      </c>
      <c r="V311" s="155">
        <f>I311-J311-K311</f>
        <v>0</v>
      </c>
    </row>
    <row r="312" spans="1:22" ht="19.5" customHeight="1" x14ac:dyDescent="0.25">
      <c r="A312" s="55"/>
      <c r="B312" s="69" t="s">
        <v>129</v>
      </c>
      <c r="C312" s="69"/>
      <c r="D312" s="70">
        <f>SUM(D313:D316)</f>
        <v>0</v>
      </c>
      <c r="E312" s="70">
        <f t="shared" ref="E312:Q312" si="232">SUM(E313:E316)</f>
        <v>140000</v>
      </c>
      <c r="F312" s="70">
        <f t="shared" si="232"/>
        <v>-44228.2</v>
      </c>
      <c r="G312" s="317">
        <f t="shared" si="232"/>
        <v>95771.8</v>
      </c>
      <c r="H312" s="317">
        <f t="shared" si="232"/>
        <v>56850</v>
      </c>
      <c r="I312" s="317">
        <f t="shared" si="232"/>
        <v>38921.800000000003</v>
      </c>
      <c r="J312" s="317">
        <f t="shared" si="232"/>
        <v>38921.800000000003</v>
      </c>
      <c r="K312" s="317">
        <f t="shared" si="232"/>
        <v>0</v>
      </c>
      <c r="L312" s="70">
        <f t="shared" si="232"/>
        <v>0</v>
      </c>
      <c r="M312" s="70">
        <f t="shared" si="232"/>
        <v>0</v>
      </c>
      <c r="N312" s="70">
        <f t="shared" si="232"/>
        <v>0</v>
      </c>
      <c r="O312" s="70">
        <f t="shared" si="232"/>
        <v>0</v>
      </c>
      <c r="P312" s="70">
        <f t="shared" si="232"/>
        <v>0</v>
      </c>
      <c r="Q312" s="70">
        <f t="shared" si="232"/>
        <v>0</v>
      </c>
      <c r="R312" s="155">
        <f>S312-H312</f>
        <v>0</v>
      </c>
      <c r="S312" s="126">
        <f>S313</f>
        <v>56850</v>
      </c>
      <c r="T312" s="155">
        <f>G312-SUM(D312:F312)</f>
        <v>0</v>
      </c>
      <c r="U312" s="155">
        <f>G312-H312-I312</f>
        <v>0</v>
      </c>
      <c r="V312" s="155">
        <f>I312-J312-K312</f>
        <v>0</v>
      </c>
    </row>
    <row r="313" spans="1:22" s="22" customFormat="1" ht="19.5" customHeight="1" x14ac:dyDescent="0.25">
      <c r="A313" s="61"/>
      <c r="B313" s="63" t="s">
        <v>130</v>
      </c>
      <c r="C313" s="63" t="s">
        <v>303</v>
      </c>
      <c r="D313" s="62"/>
      <c r="E313" s="62">
        <v>20000</v>
      </c>
      <c r="F313" s="62"/>
      <c r="G313" s="62">
        <f>SUM(D313:F313)</f>
        <v>20000</v>
      </c>
      <c r="H313" s="62">
        <v>1078.2</v>
      </c>
      <c r="I313" s="62">
        <f>G313-H313</f>
        <v>18921.8</v>
      </c>
      <c r="J313" s="27">
        <f t="shared" ref="J313:J367" si="233">I313-K313</f>
        <v>18921.8</v>
      </c>
      <c r="K313" s="27"/>
      <c r="L313" s="300"/>
      <c r="M313" s="204"/>
      <c r="N313" s="204"/>
      <c r="O313" s="204"/>
      <c r="P313" s="204"/>
      <c r="Q313" s="204"/>
      <c r="R313" s="139" t="s">
        <v>303</v>
      </c>
      <c r="S313" s="30">
        <v>56850</v>
      </c>
    </row>
    <row r="314" spans="1:22" s="22" customFormat="1" ht="19.5" customHeight="1" x14ac:dyDescent="0.25">
      <c r="A314" s="61"/>
      <c r="B314" s="63" t="s">
        <v>131</v>
      </c>
      <c r="C314" s="63" t="s">
        <v>303</v>
      </c>
      <c r="D314" s="62"/>
      <c r="E314" s="62">
        <v>20000</v>
      </c>
      <c r="F314" s="62"/>
      <c r="G314" s="62">
        <f t="shared" ref="G314:G316" si="234">SUM(D314:F314)</f>
        <v>20000</v>
      </c>
      <c r="H314" s="62"/>
      <c r="I314" s="62">
        <f t="shared" ref="I314:I316" si="235">G314-H314</f>
        <v>20000</v>
      </c>
      <c r="J314" s="27">
        <f t="shared" si="233"/>
        <v>20000</v>
      </c>
      <c r="K314" s="27"/>
      <c r="L314" s="300"/>
      <c r="M314" s="204"/>
      <c r="N314" s="204"/>
      <c r="O314" s="204"/>
      <c r="P314" s="204"/>
      <c r="Q314" s="204"/>
      <c r="S314" s="30"/>
    </row>
    <row r="315" spans="1:22" s="22" customFormat="1" ht="19.5" customHeight="1" x14ac:dyDescent="0.25">
      <c r="A315" s="61"/>
      <c r="B315" s="63" t="s">
        <v>132</v>
      </c>
      <c r="C315" s="63" t="s">
        <v>303</v>
      </c>
      <c r="D315" s="62"/>
      <c r="E315" s="62">
        <v>45000</v>
      </c>
      <c r="F315" s="62"/>
      <c r="G315" s="62">
        <f t="shared" si="234"/>
        <v>45000</v>
      </c>
      <c r="H315" s="62">
        <f>G315</f>
        <v>45000</v>
      </c>
      <c r="I315" s="62">
        <f t="shared" si="235"/>
        <v>0</v>
      </c>
      <c r="J315" s="27">
        <f t="shared" si="233"/>
        <v>0</v>
      </c>
      <c r="K315" s="27"/>
      <c r="L315" s="300"/>
      <c r="M315" s="204"/>
      <c r="N315" s="204"/>
      <c r="O315" s="204"/>
      <c r="P315" s="204"/>
      <c r="Q315" s="204"/>
      <c r="S315" s="30"/>
    </row>
    <row r="316" spans="1:22" s="22" customFormat="1" ht="19.5" customHeight="1" x14ac:dyDescent="0.25">
      <c r="A316" s="61"/>
      <c r="B316" s="63" t="s">
        <v>566</v>
      </c>
      <c r="C316" s="63" t="s">
        <v>303</v>
      </c>
      <c r="D316" s="62"/>
      <c r="E316" s="62">
        <v>55000</v>
      </c>
      <c r="F316" s="62">
        <v>-44228.2</v>
      </c>
      <c r="G316" s="62">
        <f t="shared" si="234"/>
        <v>10771.800000000003</v>
      </c>
      <c r="H316" s="62">
        <f>G316</f>
        <v>10771.800000000003</v>
      </c>
      <c r="I316" s="62">
        <f t="shared" si="235"/>
        <v>0</v>
      </c>
      <c r="J316" s="27">
        <f t="shared" si="233"/>
        <v>0</v>
      </c>
      <c r="K316" s="27"/>
      <c r="L316" s="300"/>
      <c r="M316" s="204"/>
      <c r="N316" s="204"/>
      <c r="O316" s="204"/>
      <c r="P316" s="204"/>
      <c r="Q316" s="204"/>
      <c r="S316" s="30"/>
    </row>
    <row r="317" spans="1:22" ht="19.5" customHeight="1" x14ac:dyDescent="0.25">
      <c r="A317" s="55"/>
      <c r="B317" s="69" t="s">
        <v>304</v>
      </c>
      <c r="C317" s="69"/>
      <c r="D317" s="59">
        <f t="shared" ref="D317:Q317" si="236">SUM(D318:D319)</f>
        <v>0</v>
      </c>
      <c r="E317" s="59">
        <f t="shared" si="236"/>
        <v>1021000</v>
      </c>
      <c r="F317" s="59">
        <f t="shared" si="236"/>
        <v>0</v>
      </c>
      <c r="G317" s="321">
        <f t="shared" si="236"/>
        <v>1021000</v>
      </c>
      <c r="H317" s="321">
        <f t="shared" si="236"/>
        <v>874525.04399999999</v>
      </c>
      <c r="I317" s="321">
        <f t="shared" si="236"/>
        <v>146474.95600000001</v>
      </c>
      <c r="J317" s="321">
        <f t="shared" si="236"/>
        <v>146474.95600000001</v>
      </c>
      <c r="K317" s="321">
        <f t="shared" si="236"/>
        <v>0</v>
      </c>
      <c r="L317" s="305">
        <f t="shared" si="236"/>
        <v>0</v>
      </c>
      <c r="M317" s="59">
        <f t="shared" si="236"/>
        <v>0</v>
      </c>
      <c r="N317" s="59">
        <f t="shared" si="236"/>
        <v>0</v>
      </c>
      <c r="O317" s="59">
        <f t="shared" si="236"/>
        <v>0</v>
      </c>
      <c r="P317" s="59">
        <f t="shared" si="236"/>
        <v>0</v>
      </c>
      <c r="Q317" s="59">
        <f t="shared" si="236"/>
        <v>0</v>
      </c>
      <c r="R317" s="155">
        <f>S317-H317</f>
        <v>-77932.037000000011</v>
      </c>
      <c r="S317" s="126">
        <f>SUM(S318)</f>
        <v>796593.00699999998</v>
      </c>
      <c r="T317" s="155">
        <f>G317-SUM(D317:F317)</f>
        <v>0</v>
      </c>
      <c r="U317" s="155">
        <f>G317-H317-I317</f>
        <v>0</v>
      </c>
      <c r="V317" s="155">
        <f>I317-J317-K317</f>
        <v>0</v>
      </c>
    </row>
    <row r="318" spans="1:22" s="22" customFormat="1" ht="19.5" customHeight="1" x14ac:dyDescent="0.25">
      <c r="A318" s="61"/>
      <c r="B318" s="63" t="s">
        <v>133</v>
      </c>
      <c r="C318" s="63" t="s">
        <v>614</v>
      </c>
      <c r="D318" s="62"/>
      <c r="E318" s="62">
        <f>ROUND(882678+113500,-3)</f>
        <v>996000</v>
      </c>
      <c r="F318" s="62"/>
      <c r="G318" s="62">
        <f>SUM(D318:F318)</f>
        <v>996000</v>
      </c>
      <c r="H318" s="62">
        <f>874525.044-H319</f>
        <v>849525.04399999999</v>
      </c>
      <c r="I318" s="62">
        <f>G318-H318</f>
        <v>146474.95600000001</v>
      </c>
      <c r="J318" s="27">
        <f t="shared" si="233"/>
        <v>146474.95600000001</v>
      </c>
      <c r="K318" s="27"/>
      <c r="L318" s="308"/>
      <c r="M318" s="207"/>
      <c r="N318" s="207"/>
      <c r="O318" s="207"/>
      <c r="P318" s="207"/>
      <c r="Q318" s="207"/>
      <c r="R318" s="141" t="s">
        <v>176</v>
      </c>
      <c r="S318" s="140">
        <v>796593.00699999998</v>
      </c>
    </row>
    <row r="319" spans="1:22" s="22" customFormat="1" ht="39" customHeight="1" x14ac:dyDescent="0.25">
      <c r="A319" s="61"/>
      <c r="B319" s="63" t="s">
        <v>134</v>
      </c>
      <c r="C319" s="63" t="s">
        <v>614</v>
      </c>
      <c r="D319" s="62"/>
      <c r="E319" s="62">
        <v>25000</v>
      </c>
      <c r="F319" s="62"/>
      <c r="G319" s="62">
        <f t="shared" ref="G319" si="237">SUM(D319:F319)</f>
        <v>25000</v>
      </c>
      <c r="H319" s="62">
        <f>G319</f>
        <v>25000</v>
      </c>
      <c r="I319" s="62">
        <f t="shared" ref="I319" si="238">G319-H319</f>
        <v>0</v>
      </c>
      <c r="J319" s="27">
        <f t="shared" si="233"/>
        <v>0</v>
      </c>
      <c r="K319" s="27"/>
      <c r="L319" s="300"/>
      <c r="M319" s="204"/>
      <c r="N319" s="204"/>
      <c r="O319" s="204"/>
      <c r="P319" s="204"/>
      <c r="Q319" s="204"/>
      <c r="R319" s="71"/>
      <c r="S319" s="132"/>
    </row>
    <row r="320" spans="1:22" ht="21" customHeight="1" x14ac:dyDescent="0.25">
      <c r="A320" s="55">
        <v>2</v>
      </c>
      <c r="B320" s="15" t="s">
        <v>135</v>
      </c>
      <c r="C320" s="15"/>
      <c r="D320" s="16">
        <f t="shared" ref="D320:Q320" si="239">SUM(D321:D344)</f>
        <v>0</v>
      </c>
      <c r="E320" s="16">
        <f t="shared" si="239"/>
        <v>4252350</v>
      </c>
      <c r="F320" s="16">
        <f t="shared" si="239"/>
        <v>1334616</v>
      </c>
      <c r="G320" s="318">
        <f t="shared" si="239"/>
        <v>5586966</v>
      </c>
      <c r="H320" s="318">
        <f t="shared" si="239"/>
        <v>3733120</v>
      </c>
      <c r="I320" s="318">
        <f t="shared" si="239"/>
        <v>1853846</v>
      </c>
      <c r="J320" s="318">
        <f t="shared" si="239"/>
        <v>1812881</v>
      </c>
      <c r="K320" s="318">
        <f t="shared" si="239"/>
        <v>40965</v>
      </c>
      <c r="L320" s="299">
        <f t="shared" si="239"/>
        <v>0</v>
      </c>
      <c r="M320" s="16">
        <f t="shared" si="239"/>
        <v>0</v>
      </c>
      <c r="N320" s="16">
        <f t="shared" si="239"/>
        <v>100</v>
      </c>
      <c r="O320" s="16">
        <f t="shared" si="239"/>
        <v>0</v>
      </c>
      <c r="P320" s="16">
        <f t="shared" si="239"/>
        <v>40865</v>
      </c>
      <c r="Q320" s="16">
        <f t="shared" si="239"/>
        <v>0</v>
      </c>
      <c r="R320" s="17">
        <f>S320-H320</f>
        <v>-72980.095999999903</v>
      </c>
      <c r="S320" s="131">
        <f>SUM(S321:S326)</f>
        <v>3660139.9040000001</v>
      </c>
      <c r="T320" s="155">
        <f>G320-SUM(D320:F320)</f>
        <v>0</v>
      </c>
      <c r="U320" s="155">
        <f>G320-H320-I320</f>
        <v>0</v>
      </c>
      <c r="V320" s="155">
        <f>I320-J320-K320</f>
        <v>0</v>
      </c>
    </row>
    <row r="321" spans="1:19" ht="53.25" customHeight="1" x14ac:dyDescent="0.25">
      <c r="A321" s="64"/>
      <c r="B321" s="25" t="s">
        <v>567</v>
      </c>
      <c r="C321" s="88">
        <v>161</v>
      </c>
      <c r="D321" s="285"/>
      <c r="E321" s="285">
        <f>500000+50000</f>
        <v>550000</v>
      </c>
      <c r="F321" s="285"/>
      <c r="G321" s="285">
        <f>SUM(D321:F321)</f>
        <v>550000</v>
      </c>
      <c r="H321" s="285">
        <f>G321</f>
        <v>550000</v>
      </c>
      <c r="I321" s="285">
        <f>G321-H321</f>
        <v>0</v>
      </c>
      <c r="J321" s="27">
        <f t="shared" si="233"/>
        <v>0</v>
      </c>
      <c r="K321" s="27"/>
      <c r="L321" s="300"/>
      <c r="M321" s="204"/>
      <c r="N321" s="204"/>
      <c r="O321" s="204"/>
      <c r="P321" s="204"/>
      <c r="Q321" s="204"/>
      <c r="R321">
        <v>98</v>
      </c>
      <c r="S321" s="316">
        <v>99900</v>
      </c>
    </row>
    <row r="322" spans="1:19" x14ac:dyDescent="0.25">
      <c r="A322" s="61"/>
      <c r="B322" s="25" t="s">
        <v>136</v>
      </c>
      <c r="C322" s="88">
        <v>221</v>
      </c>
      <c r="D322" s="285"/>
      <c r="E322" s="285">
        <f>925000-50000</f>
        <v>875000</v>
      </c>
      <c r="F322" s="285"/>
      <c r="G322" s="285">
        <f t="shared" ref="G322:G331" si="240">SUM(D322:F322)</f>
        <v>875000</v>
      </c>
      <c r="H322" s="285">
        <v>428315</v>
      </c>
      <c r="I322" s="285">
        <f t="shared" ref="I322:I336" si="241">G322-H322</f>
        <v>446685</v>
      </c>
      <c r="J322" s="27">
        <f t="shared" si="233"/>
        <v>446685</v>
      </c>
      <c r="K322" s="27"/>
      <c r="L322" s="300"/>
      <c r="M322" s="204"/>
      <c r="N322" s="204"/>
      <c r="O322" s="204"/>
      <c r="P322" s="204"/>
      <c r="Q322" s="204"/>
      <c r="R322">
        <v>161</v>
      </c>
      <c r="S322" s="316">
        <v>2637530.37</v>
      </c>
    </row>
    <row r="323" spans="1:19" x14ac:dyDescent="0.25">
      <c r="A323" s="61"/>
      <c r="B323" s="25" t="s">
        <v>137</v>
      </c>
      <c r="C323" s="88">
        <v>221</v>
      </c>
      <c r="D323" s="285"/>
      <c r="E323" s="285">
        <v>135000</v>
      </c>
      <c r="F323" s="285"/>
      <c r="G323" s="285">
        <f t="shared" si="240"/>
        <v>135000</v>
      </c>
      <c r="H323" s="285"/>
      <c r="I323" s="285">
        <f t="shared" si="241"/>
        <v>135000</v>
      </c>
      <c r="J323" s="27">
        <f t="shared" si="233"/>
        <v>135000</v>
      </c>
      <c r="K323" s="27"/>
      <c r="L323" s="300"/>
      <c r="M323" s="204"/>
      <c r="N323" s="204"/>
      <c r="O323" s="204"/>
      <c r="P323" s="204"/>
      <c r="Q323" s="204"/>
      <c r="R323">
        <v>191</v>
      </c>
      <c r="S323" s="316">
        <v>230376</v>
      </c>
    </row>
    <row r="324" spans="1:19" x14ac:dyDescent="0.25">
      <c r="A324" s="61"/>
      <c r="B324" s="25" t="s">
        <v>138</v>
      </c>
      <c r="C324" s="88">
        <v>161</v>
      </c>
      <c r="D324" s="285"/>
      <c r="E324" s="285">
        <v>220000</v>
      </c>
      <c r="F324" s="285"/>
      <c r="G324" s="285">
        <f t="shared" si="240"/>
        <v>220000</v>
      </c>
      <c r="H324" s="285">
        <v>106821</v>
      </c>
      <c r="I324" s="285">
        <f t="shared" si="241"/>
        <v>113179</v>
      </c>
      <c r="J324" s="27">
        <f t="shared" si="233"/>
        <v>113179</v>
      </c>
      <c r="K324" s="27"/>
      <c r="L324" s="300"/>
      <c r="M324" s="204"/>
      <c r="N324" s="204"/>
      <c r="O324" s="204"/>
      <c r="P324" s="204"/>
      <c r="Q324" s="204"/>
      <c r="R324">
        <v>221</v>
      </c>
      <c r="S324" s="316">
        <v>484914.53399999999</v>
      </c>
    </row>
    <row r="325" spans="1:19" x14ac:dyDescent="0.25">
      <c r="A325" s="61"/>
      <c r="B325" s="25" t="s">
        <v>139</v>
      </c>
      <c r="C325" s="88">
        <v>191</v>
      </c>
      <c r="D325" s="285"/>
      <c r="E325" s="285">
        <v>866600</v>
      </c>
      <c r="F325" s="285"/>
      <c r="G325" s="285">
        <f t="shared" si="240"/>
        <v>866600</v>
      </c>
      <c r="H325" s="285">
        <v>230376</v>
      </c>
      <c r="I325" s="285">
        <f t="shared" si="241"/>
        <v>636224</v>
      </c>
      <c r="J325" s="27">
        <f t="shared" si="233"/>
        <v>636224</v>
      </c>
      <c r="K325" s="27"/>
      <c r="L325" s="300"/>
      <c r="M325" s="204"/>
      <c r="N325" s="204"/>
      <c r="O325" s="204"/>
      <c r="P325" s="204"/>
      <c r="Q325" s="204"/>
      <c r="R325">
        <v>281</v>
      </c>
      <c r="S325" s="316">
        <v>201545</v>
      </c>
    </row>
    <row r="326" spans="1:19" x14ac:dyDescent="0.25">
      <c r="A326" s="61"/>
      <c r="B326" s="25" t="s">
        <v>568</v>
      </c>
      <c r="C326" s="88">
        <v>161</v>
      </c>
      <c r="D326" s="285"/>
      <c r="E326" s="285">
        <v>485000</v>
      </c>
      <c r="F326" s="285"/>
      <c r="G326" s="285">
        <f t="shared" si="240"/>
        <v>485000</v>
      </c>
      <c r="H326" s="285">
        <f>G326</f>
        <v>485000</v>
      </c>
      <c r="I326" s="285">
        <f t="shared" si="241"/>
        <v>0</v>
      </c>
      <c r="J326" s="27">
        <f t="shared" si="233"/>
        <v>0</v>
      </c>
      <c r="K326" s="27"/>
      <c r="L326" s="300"/>
      <c r="M326" s="204"/>
      <c r="N326" s="204"/>
      <c r="O326" s="204"/>
      <c r="P326" s="204"/>
      <c r="Q326" s="204"/>
      <c r="R326">
        <v>338</v>
      </c>
      <c r="S326" s="316">
        <v>5874</v>
      </c>
    </row>
    <row r="327" spans="1:19" x14ac:dyDescent="0.25">
      <c r="A327" s="61"/>
      <c r="B327" s="25" t="s">
        <v>569</v>
      </c>
      <c r="C327" s="88">
        <v>161</v>
      </c>
      <c r="D327" s="285"/>
      <c r="E327" s="285">
        <v>475000</v>
      </c>
      <c r="F327" s="285"/>
      <c r="G327" s="285">
        <f t="shared" si="240"/>
        <v>475000</v>
      </c>
      <c r="H327" s="285">
        <f>467260</f>
        <v>467260</v>
      </c>
      <c r="I327" s="285">
        <f t="shared" si="241"/>
        <v>7740</v>
      </c>
      <c r="J327" s="27">
        <f t="shared" si="233"/>
        <v>0</v>
      </c>
      <c r="K327" s="27">
        <f>I327</f>
        <v>7740</v>
      </c>
      <c r="L327" s="300"/>
      <c r="M327" s="204"/>
      <c r="N327" s="204"/>
      <c r="O327" s="204"/>
      <c r="P327" s="204">
        <f>K327</f>
        <v>7740</v>
      </c>
      <c r="Q327" s="204"/>
    </row>
    <row r="328" spans="1:19" x14ac:dyDescent="0.25">
      <c r="A328" s="61"/>
      <c r="B328" s="25" t="s">
        <v>570</v>
      </c>
      <c r="C328" s="88">
        <v>161</v>
      </c>
      <c r="D328" s="285"/>
      <c r="E328" s="285">
        <v>176500</v>
      </c>
      <c r="F328" s="285"/>
      <c r="G328" s="285">
        <f t="shared" si="240"/>
        <v>176500</v>
      </c>
      <c r="H328" s="285">
        <v>165581</v>
      </c>
      <c r="I328" s="285">
        <f t="shared" si="241"/>
        <v>10919</v>
      </c>
      <c r="J328" s="27">
        <f t="shared" si="233"/>
        <v>0</v>
      </c>
      <c r="K328" s="27">
        <f>I328</f>
        <v>10919</v>
      </c>
      <c r="L328" s="300"/>
      <c r="M328" s="204"/>
      <c r="N328" s="204"/>
      <c r="O328" s="204"/>
      <c r="P328" s="204">
        <f t="shared" ref="P328:P331" si="242">K328</f>
        <v>10919</v>
      </c>
      <c r="Q328" s="204"/>
    </row>
    <row r="329" spans="1:19" x14ac:dyDescent="0.25">
      <c r="A329" s="61"/>
      <c r="B329" s="25" t="s">
        <v>571</v>
      </c>
      <c r="C329" s="88">
        <v>161</v>
      </c>
      <c r="D329" s="285"/>
      <c r="E329" s="285">
        <v>132000</v>
      </c>
      <c r="F329" s="285"/>
      <c r="G329" s="285">
        <f t="shared" si="240"/>
        <v>132000</v>
      </c>
      <c r="H329" s="285">
        <v>120000</v>
      </c>
      <c r="I329" s="285">
        <f t="shared" si="241"/>
        <v>12000</v>
      </c>
      <c r="J329" s="27">
        <f t="shared" si="233"/>
        <v>0</v>
      </c>
      <c r="K329" s="27">
        <f>I329</f>
        <v>12000</v>
      </c>
      <c r="L329" s="300"/>
      <c r="M329" s="204"/>
      <c r="N329" s="204"/>
      <c r="O329" s="204"/>
      <c r="P329" s="204">
        <f t="shared" si="242"/>
        <v>12000</v>
      </c>
      <c r="Q329" s="204"/>
    </row>
    <row r="330" spans="1:19" ht="31.5" x14ac:dyDescent="0.25">
      <c r="A330" s="61"/>
      <c r="B330" s="25" t="s">
        <v>572</v>
      </c>
      <c r="C330" s="88">
        <v>161</v>
      </c>
      <c r="D330" s="285"/>
      <c r="E330" s="285">
        <v>200000</v>
      </c>
      <c r="F330" s="285"/>
      <c r="G330" s="285">
        <f t="shared" si="240"/>
        <v>200000</v>
      </c>
      <c r="H330" s="285">
        <f>192814</f>
        <v>192814</v>
      </c>
      <c r="I330" s="285">
        <f t="shared" si="241"/>
        <v>7186</v>
      </c>
      <c r="J330" s="27">
        <f t="shared" si="233"/>
        <v>0</v>
      </c>
      <c r="K330" s="27">
        <f>I330</f>
        <v>7186</v>
      </c>
      <c r="L330" s="300"/>
      <c r="M330" s="204"/>
      <c r="N330" s="204"/>
      <c r="O330" s="204"/>
      <c r="P330" s="204">
        <f t="shared" si="242"/>
        <v>7186</v>
      </c>
      <c r="Q330" s="204"/>
    </row>
    <row r="331" spans="1:19" x14ac:dyDescent="0.25">
      <c r="A331" s="61"/>
      <c r="B331" s="41" t="s">
        <v>148</v>
      </c>
      <c r="C331" s="88">
        <v>161</v>
      </c>
      <c r="D331" s="285"/>
      <c r="E331" s="285">
        <v>10000</v>
      </c>
      <c r="F331" s="285"/>
      <c r="G331" s="285">
        <f t="shared" si="240"/>
        <v>10000</v>
      </c>
      <c r="H331" s="285">
        <v>6980</v>
      </c>
      <c r="I331" s="285">
        <f t="shared" si="241"/>
        <v>3020</v>
      </c>
      <c r="J331" s="27">
        <f t="shared" si="233"/>
        <v>0</v>
      </c>
      <c r="K331" s="27">
        <f>I331</f>
        <v>3020</v>
      </c>
      <c r="L331" s="300"/>
      <c r="M331" s="204"/>
      <c r="N331" s="204"/>
      <c r="O331" s="204"/>
      <c r="P331" s="204">
        <f t="shared" si="242"/>
        <v>3020</v>
      </c>
      <c r="Q331" s="204"/>
    </row>
    <row r="332" spans="1:19" x14ac:dyDescent="0.25">
      <c r="A332" s="61"/>
      <c r="B332" s="41" t="s">
        <v>141</v>
      </c>
      <c r="C332" s="88">
        <v>161</v>
      </c>
      <c r="D332" s="285"/>
      <c r="E332" s="285">
        <v>25000</v>
      </c>
      <c r="F332" s="285"/>
      <c r="G332" s="285">
        <f t="shared" ref="G332" si="243">SUM(D332:F332)</f>
        <v>25000</v>
      </c>
      <c r="H332" s="285"/>
      <c r="I332" s="285">
        <f t="shared" si="241"/>
        <v>25000</v>
      </c>
      <c r="J332" s="27">
        <f t="shared" si="233"/>
        <v>25000</v>
      </c>
      <c r="K332" s="27"/>
      <c r="L332" s="300"/>
      <c r="M332" s="204"/>
      <c r="N332" s="204"/>
      <c r="O332" s="204"/>
      <c r="P332" s="204"/>
      <c r="Q332" s="204"/>
    </row>
    <row r="333" spans="1:19" x14ac:dyDescent="0.25">
      <c r="A333" s="61"/>
      <c r="B333" s="41" t="s">
        <v>573</v>
      </c>
      <c r="C333" s="88">
        <v>161</v>
      </c>
      <c r="D333" s="285"/>
      <c r="E333" s="285">
        <v>20000</v>
      </c>
      <c r="F333" s="285"/>
      <c r="G333" s="285">
        <f t="shared" ref="G333" si="244">SUM(D333:F333)</f>
        <v>20000</v>
      </c>
      <c r="H333" s="285"/>
      <c r="I333" s="285">
        <f t="shared" si="241"/>
        <v>20000</v>
      </c>
      <c r="J333" s="27">
        <f t="shared" si="233"/>
        <v>20000</v>
      </c>
      <c r="K333" s="27"/>
      <c r="L333" s="300"/>
      <c r="M333" s="204"/>
      <c r="N333" s="204"/>
      <c r="O333" s="204"/>
      <c r="P333" s="204"/>
      <c r="Q333" s="204"/>
    </row>
    <row r="334" spans="1:19" s="22" customFormat="1" x14ac:dyDescent="0.25">
      <c r="A334" s="45"/>
      <c r="B334" s="41" t="s">
        <v>140</v>
      </c>
      <c r="C334" s="88">
        <v>161</v>
      </c>
      <c r="D334" s="27"/>
      <c r="E334" s="285">
        <f>4050*5</f>
        <v>20250</v>
      </c>
      <c r="F334" s="27"/>
      <c r="G334" s="27">
        <f t="shared" ref="G334:G342" si="245">SUM(D334:F334)</f>
        <v>20250</v>
      </c>
      <c r="H334" s="27"/>
      <c r="I334" s="285">
        <f t="shared" si="241"/>
        <v>20250</v>
      </c>
      <c r="J334" s="27">
        <f t="shared" si="233"/>
        <v>20250</v>
      </c>
      <c r="K334" s="27"/>
      <c r="L334" s="300"/>
      <c r="M334" s="204"/>
      <c r="N334" s="204"/>
      <c r="O334" s="204"/>
      <c r="P334" s="204"/>
      <c r="Q334" s="204"/>
      <c r="S334" s="30"/>
    </row>
    <row r="335" spans="1:19" s="22" customFormat="1" x14ac:dyDescent="0.25">
      <c r="A335" s="45"/>
      <c r="B335" s="41" t="s">
        <v>574</v>
      </c>
      <c r="C335" s="88">
        <v>161</v>
      </c>
      <c r="D335" s="27"/>
      <c r="E335" s="285">
        <v>17000</v>
      </c>
      <c r="F335" s="27"/>
      <c r="G335" s="27">
        <f t="shared" si="245"/>
        <v>17000</v>
      </c>
      <c r="H335" s="27">
        <f>G335</f>
        <v>17000</v>
      </c>
      <c r="I335" s="285">
        <f t="shared" si="241"/>
        <v>0</v>
      </c>
      <c r="J335" s="27">
        <f t="shared" si="233"/>
        <v>0</v>
      </c>
      <c r="K335" s="27"/>
      <c r="L335" s="300"/>
      <c r="M335" s="204"/>
      <c r="N335" s="204"/>
      <c r="O335" s="204"/>
      <c r="P335" s="204"/>
      <c r="Q335" s="204"/>
      <c r="S335" s="30"/>
    </row>
    <row r="336" spans="1:19" s="22" customFormat="1" x14ac:dyDescent="0.25">
      <c r="A336" s="45"/>
      <c r="B336" s="41" t="s">
        <v>142</v>
      </c>
      <c r="C336" s="88">
        <v>161</v>
      </c>
      <c r="D336" s="27"/>
      <c r="E336" s="285">
        <v>45000</v>
      </c>
      <c r="F336" s="27"/>
      <c r="G336" s="27">
        <f t="shared" si="245"/>
        <v>45000</v>
      </c>
      <c r="H336" s="27">
        <f>9960</f>
        <v>9960</v>
      </c>
      <c r="I336" s="285">
        <f t="shared" si="241"/>
        <v>35040</v>
      </c>
      <c r="J336" s="27">
        <f t="shared" si="233"/>
        <v>35040</v>
      </c>
      <c r="K336" s="27"/>
      <c r="L336" s="300"/>
      <c r="M336" s="204"/>
      <c r="N336" s="204"/>
      <c r="O336" s="204"/>
      <c r="P336" s="204"/>
      <c r="Q336" s="204"/>
      <c r="S336" s="30"/>
    </row>
    <row r="337" spans="1:22" s="22" customFormat="1" x14ac:dyDescent="0.25">
      <c r="A337" s="45"/>
      <c r="B337" s="41" t="s">
        <v>611</v>
      </c>
      <c r="C337" s="89">
        <v>161</v>
      </c>
      <c r="D337" s="27"/>
      <c r="E337" s="285"/>
      <c r="F337" s="27">
        <v>21000</v>
      </c>
      <c r="G337" s="27">
        <f t="shared" si="245"/>
        <v>21000</v>
      </c>
      <c r="H337" s="27"/>
      <c r="I337" s="285">
        <f t="shared" ref="I337" si="246">G337-H337</f>
        <v>21000</v>
      </c>
      <c r="J337" s="27">
        <f t="shared" ref="J337" si="247">I337-K337</f>
        <v>21000</v>
      </c>
      <c r="K337" s="27"/>
      <c r="L337" s="300"/>
      <c r="M337" s="204"/>
      <c r="N337" s="204"/>
      <c r="O337" s="204"/>
      <c r="P337" s="204"/>
      <c r="Q337" s="204"/>
      <c r="S337" s="30"/>
    </row>
    <row r="338" spans="1:22" s="22" customFormat="1" x14ac:dyDescent="0.25">
      <c r="A338" s="45"/>
      <c r="B338" s="41" t="s">
        <v>613</v>
      </c>
      <c r="C338" s="89" t="s">
        <v>176</v>
      </c>
      <c r="D338" s="27"/>
      <c r="E338" s="285"/>
      <c r="F338" s="27">
        <v>100000</v>
      </c>
      <c r="G338" s="27">
        <f t="shared" si="245"/>
        <v>100000</v>
      </c>
      <c r="H338" s="27">
        <v>99900</v>
      </c>
      <c r="I338" s="285">
        <f t="shared" ref="I338" si="248">G338-H338</f>
        <v>100</v>
      </c>
      <c r="J338" s="27">
        <f t="shared" ref="J338" si="249">I338-K338</f>
        <v>0</v>
      </c>
      <c r="K338" s="27">
        <f>I338</f>
        <v>100</v>
      </c>
      <c r="L338" s="300"/>
      <c r="M338" s="204"/>
      <c r="N338" s="204">
        <f>K338</f>
        <v>100</v>
      </c>
      <c r="O338" s="204"/>
      <c r="P338" s="204"/>
      <c r="Q338" s="204"/>
      <c r="S338" s="30"/>
    </row>
    <row r="339" spans="1:22" s="22" customFormat="1" ht="48.75" customHeight="1" x14ac:dyDescent="0.25">
      <c r="A339" s="45"/>
      <c r="B339" s="41" t="s">
        <v>650</v>
      </c>
      <c r="C339" s="89">
        <v>338</v>
      </c>
      <c r="D339" s="27"/>
      <c r="E339" s="285"/>
      <c r="F339" s="27">
        <v>5874</v>
      </c>
      <c r="G339" s="27">
        <f t="shared" si="245"/>
        <v>5874</v>
      </c>
      <c r="H339" s="27">
        <f>G339</f>
        <v>5874</v>
      </c>
      <c r="I339" s="285">
        <f t="shared" ref="I339:I342" si="250">G339-H339</f>
        <v>0</v>
      </c>
      <c r="J339" s="27">
        <f t="shared" ref="J339:J342" si="251">I339-K339</f>
        <v>0</v>
      </c>
      <c r="K339" s="27"/>
      <c r="L339" s="300"/>
      <c r="M339" s="204"/>
      <c r="N339" s="204"/>
      <c r="O339" s="204"/>
      <c r="P339" s="204"/>
      <c r="Q339" s="204"/>
      <c r="S339" s="30"/>
    </row>
    <row r="340" spans="1:22" s="22" customFormat="1" ht="25.5" customHeight="1" x14ac:dyDescent="0.25">
      <c r="A340" s="45"/>
      <c r="B340" s="25" t="s">
        <v>682</v>
      </c>
      <c r="C340" s="89">
        <v>161</v>
      </c>
      <c r="D340" s="27"/>
      <c r="E340" s="285"/>
      <c r="F340" s="27">
        <v>442000</v>
      </c>
      <c r="G340" s="27">
        <f t="shared" si="245"/>
        <v>442000</v>
      </c>
      <c r="H340" s="27">
        <v>397900</v>
      </c>
      <c r="I340" s="285">
        <f t="shared" si="250"/>
        <v>44100</v>
      </c>
      <c r="J340" s="27">
        <f t="shared" si="251"/>
        <v>44100</v>
      </c>
      <c r="K340" s="27"/>
      <c r="L340" s="300" t="s">
        <v>707</v>
      </c>
      <c r="M340" s="204"/>
      <c r="N340" s="204"/>
      <c r="O340" s="204"/>
      <c r="P340" s="204"/>
      <c r="Q340" s="204"/>
      <c r="S340" s="30"/>
    </row>
    <row r="341" spans="1:22" s="22" customFormat="1" ht="31.5" x14ac:dyDescent="0.25">
      <c r="A341" s="45"/>
      <c r="B341" s="25" t="s">
        <v>683</v>
      </c>
      <c r="C341" s="89">
        <v>161</v>
      </c>
      <c r="D341" s="27"/>
      <c r="E341" s="285"/>
      <c r="F341" s="27">
        <v>80000</v>
      </c>
      <c r="G341" s="27">
        <f t="shared" si="245"/>
        <v>80000</v>
      </c>
      <c r="H341" s="27"/>
      <c r="I341" s="285">
        <f t="shared" si="250"/>
        <v>80000</v>
      </c>
      <c r="J341" s="27">
        <f t="shared" si="251"/>
        <v>80000</v>
      </c>
      <c r="K341" s="27"/>
      <c r="L341" s="300" t="s">
        <v>707</v>
      </c>
      <c r="M341" s="204"/>
      <c r="N341" s="204"/>
      <c r="O341" s="204"/>
      <c r="P341" s="204"/>
      <c r="Q341" s="204"/>
      <c r="S341" s="30"/>
    </row>
    <row r="342" spans="1:22" x14ac:dyDescent="0.25">
      <c r="A342" s="61"/>
      <c r="B342" s="25" t="s">
        <v>693</v>
      </c>
      <c r="C342" s="88">
        <v>281</v>
      </c>
      <c r="D342" s="285"/>
      <c r="E342" s="287"/>
      <c r="F342" s="285">
        <v>204000</v>
      </c>
      <c r="G342" s="285">
        <f t="shared" si="245"/>
        <v>204000</v>
      </c>
      <c r="H342" s="285">
        <v>196545</v>
      </c>
      <c r="I342" s="285">
        <f t="shared" si="250"/>
        <v>7455</v>
      </c>
      <c r="J342" s="27">
        <f t="shared" si="251"/>
        <v>7455</v>
      </c>
      <c r="K342" s="27"/>
      <c r="L342" s="300" t="s">
        <v>694</v>
      </c>
      <c r="M342" s="204"/>
      <c r="N342" s="204"/>
      <c r="O342" s="204"/>
      <c r="P342" s="204"/>
      <c r="Q342" s="204"/>
    </row>
    <row r="343" spans="1:22" ht="31.5" x14ac:dyDescent="0.25">
      <c r="A343" s="61"/>
      <c r="B343" s="25" t="s">
        <v>704</v>
      </c>
      <c r="C343" s="88">
        <v>161</v>
      </c>
      <c r="D343" s="285"/>
      <c r="E343" s="287"/>
      <c r="F343" s="285">
        <v>143000</v>
      </c>
      <c r="G343" s="285">
        <f t="shared" ref="G343" si="252">SUM(D343:F343)</f>
        <v>143000</v>
      </c>
      <c r="H343" s="285">
        <v>63064</v>
      </c>
      <c r="I343" s="285">
        <f t="shared" ref="I343:I344" si="253">G343-H343</f>
        <v>79936</v>
      </c>
      <c r="J343" s="27">
        <f t="shared" ref="J343:J344" si="254">I343-K343</f>
        <v>79936</v>
      </c>
      <c r="K343" s="27"/>
      <c r="L343" s="300" t="s">
        <v>694</v>
      </c>
      <c r="M343" s="204"/>
      <c r="N343" s="204"/>
      <c r="O343" s="204"/>
      <c r="P343" s="204"/>
      <c r="Q343" s="204"/>
    </row>
    <row r="344" spans="1:22" ht="31.5" x14ac:dyDescent="0.25">
      <c r="A344" s="61"/>
      <c r="B344" s="25" t="s">
        <v>717</v>
      </c>
      <c r="C344" s="88">
        <v>281</v>
      </c>
      <c r="D344" s="285"/>
      <c r="E344" s="287"/>
      <c r="F344" s="285">
        <v>338742</v>
      </c>
      <c r="G344" s="285">
        <f t="shared" ref="G344" si="255">SUM(D344:F344)</f>
        <v>338742</v>
      </c>
      <c r="H344" s="285">
        <f>186730+3000</f>
        <v>189730</v>
      </c>
      <c r="I344" s="285">
        <f t="shared" si="253"/>
        <v>149012</v>
      </c>
      <c r="J344" s="27">
        <f t="shared" si="254"/>
        <v>149012</v>
      </c>
      <c r="K344" s="27"/>
      <c r="L344" s="300"/>
      <c r="M344" s="204"/>
      <c r="N344" s="204"/>
      <c r="O344" s="204"/>
      <c r="P344" s="204"/>
      <c r="Q344" s="204"/>
    </row>
    <row r="345" spans="1:22" ht="16.5" x14ac:dyDescent="0.25">
      <c r="A345" s="55">
        <v>3</v>
      </c>
      <c r="B345" s="15" t="s">
        <v>143</v>
      </c>
      <c r="C345" s="15"/>
      <c r="D345" s="16">
        <f t="shared" ref="D345:Q345" si="256">SUM(D346:D351)</f>
        <v>0</v>
      </c>
      <c r="E345" s="16">
        <f t="shared" si="256"/>
        <v>517700</v>
      </c>
      <c r="F345" s="16">
        <f t="shared" si="256"/>
        <v>2157018</v>
      </c>
      <c r="G345" s="318">
        <f t="shared" si="256"/>
        <v>2674718</v>
      </c>
      <c r="H345" s="318">
        <f t="shared" si="256"/>
        <v>1109601</v>
      </c>
      <c r="I345" s="318">
        <f t="shared" si="256"/>
        <v>1565117</v>
      </c>
      <c r="J345" s="318">
        <f t="shared" si="256"/>
        <v>1565117</v>
      </c>
      <c r="K345" s="318">
        <f t="shared" si="256"/>
        <v>0</v>
      </c>
      <c r="L345" s="299">
        <f t="shared" si="256"/>
        <v>0</v>
      </c>
      <c r="M345" s="16">
        <f t="shared" si="256"/>
        <v>0</v>
      </c>
      <c r="N345" s="16">
        <f t="shared" si="256"/>
        <v>0</v>
      </c>
      <c r="O345" s="16">
        <f t="shared" si="256"/>
        <v>0</v>
      </c>
      <c r="P345" s="16">
        <f t="shared" si="256"/>
        <v>0</v>
      </c>
      <c r="Q345" s="16">
        <f t="shared" si="256"/>
        <v>0</v>
      </c>
      <c r="R345" s="17">
        <f>E345-'[2]CHI CẤP HUYỆN'!K37</f>
        <v>497700</v>
      </c>
      <c r="S345" s="131">
        <f>SUM(S346:S346)</f>
        <v>1086651</v>
      </c>
      <c r="T345" s="155">
        <f>G345-SUM(D345:F345)</f>
        <v>0</v>
      </c>
      <c r="U345" s="155">
        <f>G345-H345-I345</f>
        <v>0</v>
      </c>
      <c r="V345" s="155">
        <f>I345-J345-K345</f>
        <v>0</v>
      </c>
    </row>
    <row r="346" spans="1:22" ht="31.5" x14ac:dyDescent="0.25">
      <c r="A346" s="61"/>
      <c r="B346" s="25" t="s">
        <v>575</v>
      </c>
      <c r="C346" s="88">
        <v>281</v>
      </c>
      <c r="D346" s="285"/>
      <c r="E346" s="285">
        <v>452700</v>
      </c>
      <c r="F346" s="285"/>
      <c r="G346" s="285">
        <f>SUM(D346:F346)</f>
        <v>452700</v>
      </c>
      <c r="H346" s="285">
        <f>G346</f>
        <v>452700</v>
      </c>
      <c r="I346" s="285">
        <f>G346-H346</f>
        <v>0</v>
      </c>
      <c r="J346" s="27">
        <f t="shared" si="233"/>
        <v>0</v>
      </c>
      <c r="K346" s="27"/>
      <c r="L346" s="300"/>
      <c r="M346" s="204"/>
      <c r="N346" s="204"/>
      <c r="O346" s="204"/>
      <c r="P346" s="204"/>
      <c r="Q346" s="204"/>
      <c r="R346" s="13">
        <v>281</v>
      </c>
      <c r="S346" s="126">
        <v>1086651</v>
      </c>
    </row>
    <row r="347" spans="1:22" x14ac:dyDescent="0.25">
      <c r="A347" s="61"/>
      <c r="B347" s="25" t="s">
        <v>723</v>
      </c>
      <c r="C347" s="88">
        <v>281</v>
      </c>
      <c r="D347" s="285"/>
      <c r="E347" s="285">
        <f>3*15000</f>
        <v>45000</v>
      </c>
      <c r="F347" s="285"/>
      <c r="G347" s="285">
        <f t="shared" ref="G347" si="257">SUM(D347:F347)</f>
        <v>45000</v>
      </c>
      <c r="H347" s="285">
        <f>G347</f>
        <v>45000</v>
      </c>
      <c r="I347" s="285">
        <f t="shared" ref="I347:I348" si="258">G347-H347</f>
        <v>0</v>
      </c>
      <c r="J347" s="27">
        <f t="shared" si="233"/>
        <v>0</v>
      </c>
      <c r="K347" s="27"/>
      <c r="L347" s="300"/>
      <c r="M347" s="204"/>
      <c r="N347" s="204"/>
      <c r="O347" s="204"/>
      <c r="P347" s="204"/>
      <c r="Q347" s="204"/>
      <c r="T347" s="126"/>
    </row>
    <row r="348" spans="1:22" s="22" customFormat="1" x14ac:dyDescent="0.25">
      <c r="A348" s="45"/>
      <c r="B348" s="25" t="s">
        <v>576</v>
      </c>
      <c r="C348" s="89">
        <v>281</v>
      </c>
      <c r="D348" s="27"/>
      <c r="E348" s="285">
        <v>20000</v>
      </c>
      <c r="F348" s="27"/>
      <c r="G348" s="27">
        <f>SUM(D348:F348)</f>
        <v>20000</v>
      </c>
      <c r="H348" s="27"/>
      <c r="I348" s="285">
        <f t="shared" si="258"/>
        <v>20000</v>
      </c>
      <c r="J348" s="27">
        <f t="shared" si="233"/>
        <v>20000</v>
      </c>
      <c r="K348" s="27"/>
      <c r="L348" s="300"/>
      <c r="M348" s="204"/>
      <c r="N348" s="204"/>
      <c r="O348" s="204"/>
      <c r="P348" s="204"/>
      <c r="Q348" s="204"/>
      <c r="S348" s="30"/>
      <c r="T348" s="54"/>
    </row>
    <row r="349" spans="1:22" s="22" customFormat="1" x14ac:dyDescent="0.25">
      <c r="A349" s="45"/>
      <c r="B349" s="41" t="s">
        <v>294</v>
      </c>
      <c r="C349" s="89">
        <v>281</v>
      </c>
      <c r="D349" s="27"/>
      <c r="E349" s="27"/>
      <c r="F349" s="27">
        <v>816797</v>
      </c>
      <c r="G349" s="27">
        <f>SUM(D349:F349)</f>
        <v>816797</v>
      </c>
      <c r="H349" s="27">
        <v>443990</v>
      </c>
      <c r="I349" s="285">
        <f t="shared" ref="I349:I350" si="259">G349-H349</f>
        <v>372807</v>
      </c>
      <c r="J349" s="27">
        <f t="shared" si="233"/>
        <v>372807</v>
      </c>
      <c r="K349" s="27"/>
      <c r="L349" s="300"/>
      <c r="M349" s="204"/>
      <c r="N349" s="204"/>
      <c r="O349" s="204"/>
      <c r="P349" s="204"/>
      <c r="Q349" s="204"/>
      <c r="S349" s="30"/>
    </row>
    <row r="350" spans="1:22" s="22" customFormat="1" ht="37.5" customHeight="1" x14ac:dyDescent="0.25">
      <c r="A350" s="45"/>
      <c r="B350" s="41" t="s">
        <v>681</v>
      </c>
      <c r="C350" s="89">
        <v>281</v>
      </c>
      <c r="D350" s="27"/>
      <c r="E350" s="27"/>
      <c r="F350" s="27">
        <v>1172310</v>
      </c>
      <c r="G350" s="27">
        <f t="shared" ref="G350" si="260">SUM(D350:F350)</f>
        <v>1172310</v>
      </c>
      <c r="H350" s="27"/>
      <c r="I350" s="285">
        <f t="shared" si="259"/>
        <v>1172310</v>
      </c>
      <c r="J350" s="27">
        <f t="shared" si="233"/>
        <v>1172310</v>
      </c>
      <c r="K350" s="27"/>
      <c r="L350" s="300" t="s">
        <v>707</v>
      </c>
      <c r="M350" s="204"/>
      <c r="N350" s="204"/>
      <c r="O350" s="204"/>
      <c r="P350" s="204"/>
      <c r="Q350" s="204"/>
      <c r="S350" s="30"/>
    </row>
    <row r="351" spans="1:22" s="22" customFormat="1" ht="19.5" customHeight="1" x14ac:dyDescent="0.25">
      <c r="A351" s="61"/>
      <c r="B351" s="63" t="s">
        <v>601</v>
      </c>
      <c r="C351" s="320">
        <v>281</v>
      </c>
      <c r="D351" s="62"/>
      <c r="E351" s="62"/>
      <c r="F351" s="62">
        <v>167911</v>
      </c>
      <c r="G351" s="62">
        <f t="shared" ref="G351" si="261">SUM(D351:F351)</f>
        <v>167911</v>
      </c>
      <c r="H351" s="62">
        <f>G351</f>
        <v>167911</v>
      </c>
      <c r="I351" s="62">
        <f t="shared" ref="I351" si="262">G351-H351</f>
        <v>0</v>
      </c>
      <c r="J351" s="27">
        <f t="shared" ref="J351" si="263">I351-K351</f>
        <v>0</v>
      </c>
      <c r="K351" s="27"/>
      <c r="L351" s="300"/>
      <c r="M351" s="204"/>
      <c r="N351" s="204"/>
      <c r="O351" s="204"/>
      <c r="P351" s="204"/>
      <c r="Q351" s="204"/>
      <c r="S351" s="30"/>
    </row>
    <row r="352" spans="1:22" ht="20.25" customHeight="1" x14ac:dyDescent="0.25">
      <c r="A352" s="55">
        <v>4</v>
      </c>
      <c r="B352" s="15" t="s">
        <v>175</v>
      </c>
      <c r="C352" s="15"/>
      <c r="D352" s="16">
        <f t="shared" ref="D352:Q352" si="264">SUM(D353:D357)</f>
        <v>0</v>
      </c>
      <c r="E352" s="16">
        <f t="shared" si="264"/>
        <v>0</v>
      </c>
      <c r="F352" s="16">
        <f t="shared" si="264"/>
        <v>5326090</v>
      </c>
      <c r="G352" s="318">
        <f t="shared" si="264"/>
        <v>5326090</v>
      </c>
      <c r="H352" s="318">
        <f t="shared" si="264"/>
        <v>4736862.9049999993</v>
      </c>
      <c r="I352" s="318">
        <f t="shared" si="264"/>
        <v>589227.09499999997</v>
      </c>
      <c r="J352" s="318">
        <f t="shared" si="264"/>
        <v>589227.09499999997</v>
      </c>
      <c r="K352" s="318">
        <f t="shared" si="264"/>
        <v>0</v>
      </c>
      <c r="L352" s="299">
        <f t="shared" si="264"/>
        <v>0</v>
      </c>
      <c r="M352" s="16">
        <f t="shared" si="264"/>
        <v>0</v>
      </c>
      <c r="N352" s="16">
        <f t="shared" si="264"/>
        <v>0</v>
      </c>
      <c r="O352" s="16">
        <f t="shared" si="264"/>
        <v>0</v>
      </c>
      <c r="P352" s="16">
        <f t="shared" si="264"/>
        <v>0</v>
      </c>
      <c r="Q352" s="16">
        <f t="shared" si="264"/>
        <v>0</v>
      </c>
      <c r="R352" s="17"/>
      <c r="S352" s="131">
        <f>SUM(S353:S353)</f>
        <v>627353</v>
      </c>
      <c r="T352" s="155">
        <f>G352-SUM(D352:F352)</f>
        <v>0</v>
      </c>
      <c r="U352" s="155">
        <f>G352-H352-I352</f>
        <v>0</v>
      </c>
      <c r="V352" s="155">
        <f>I352-J352-K352</f>
        <v>0</v>
      </c>
    </row>
    <row r="353" spans="1:22" ht="18" customHeight="1" x14ac:dyDescent="0.25">
      <c r="A353" s="61"/>
      <c r="B353" s="25" t="s">
        <v>639</v>
      </c>
      <c r="C353" s="88">
        <v>312</v>
      </c>
      <c r="D353" s="285"/>
      <c r="E353" s="287"/>
      <c r="F353" s="285">
        <v>4423300</v>
      </c>
      <c r="G353" s="285">
        <f>SUM(D353:F353)</f>
        <v>4423300</v>
      </c>
      <c r="H353" s="285">
        <v>3837287.645</v>
      </c>
      <c r="I353" s="285">
        <f>G353-H353</f>
        <v>586012.35499999998</v>
      </c>
      <c r="J353" s="27">
        <f t="shared" si="233"/>
        <v>586012.35499999998</v>
      </c>
      <c r="K353" s="27"/>
      <c r="L353" s="300"/>
      <c r="M353" s="204"/>
      <c r="N353" s="204"/>
      <c r="O353" s="204"/>
      <c r="P353" s="204"/>
      <c r="Q353" s="204"/>
      <c r="R353" s="13">
        <v>261</v>
      </c>
      <c r="S353" s="126">
        <v>627353</v>
      </c>
    </row>
    <row r="354" spans="1:22" ht="18" customHeight="1" x14ac:dyDescent="0.25">
      <c r="A354" s="61"/>
      <c r="B354" s="25" t="s">
        <v>642</v>
      </c>
      <c r="C354" s="88">
        <v>292</v>
      </c>
      <c r="D354" s="285"/>
      <c r="E354" s="287"/>
      <c r="F354" s="285">
        <v>504198</v>
      </c>
      <c r="G354" s="285">
        <f t="shared" ref="G354" si="265">SUM(D354:F354)</f>
        <v>504198</v>
      </c>
      <c r="H354" s="285">
        <v>504176</v>
      </c>
      <c r="I354" s="285">
        <f t="shared" ref="I354" si="266">G354-H354</f>
        <v>22</v>
      </c>
      <c r="J354" s="27">
        <f t="shared" si="233"/>
        <v>22</v>
      </c>
      <c r="K354" s="27"/>
      <c r="L354" s="300"/>
      <c r="M354" s="204"/>
      <c r="N354" s="204"/>
      <c r="O354" s="204"/>
      <c r="P354" s="204"/>
      <c r="Q354" s="204"/>
    </row>
    <row r="355" spans="1:22" ht="34.5" customHeight="1" x14ac:dyDescent="0.25">
      <c r="A355" s="61"/>
      <c r="B355" s="25" t="s">
        <v>661</v>
      </c>
      <c r="C355" s="88">
        <v>261</v>
      </c>
      <c r="D355" s="285"/>
      <c r="E355" s="287"/>
      <c r="F355" s="285">
        <v>74800</v>
      </c>
      <c r="G355" s="285">
        <f t="shared" ref="G355:G356" si="267">SUM(D355:F355)</f>
        <v>74800</v>
      </c>
      <c r="H355" s="285">
        <v>71669</v>
      </c>
      <c r="I355" s="285">
        <f t="shared" ref="I355:I357" si="268">G355-H355</f>
        <v>3131</v>
      </c>
      <c r="J355" s="27">
        <f t="shared" ref="J355:J357" si="269">I355-K355</f>
        <v>3131</v>
      </c>
      <c r="K355" s="27"/>
      <c r="L355" s="300"/>
      <c r="M355" s="204"/>
      <c r="N355" s="204"/>
      <c r="O355" s="204"/>
      <c r="P355" s="204"/>
      <c r="Q355" s="204"/>
    </row>
    <row r="356" spans="1:22" ht="20.25" customHeight="1" x14ac:dyDescent="0.25">
      <c r="A356" s="61"/>
      <c r="B356" s="25" t="s">
        <v>693</v>
      </c>
      <c r="C356" s="88">
        <v>281</v>
      </c>
      <c r="D356" s="285"/>
      <c r="E356" s="287"/>
      <c r="F356" s="285">
        <v>98000</v>
      </c>
      <c r="G356" s="285">
        <f t="shared" si="267"/>
        <v>98000</v>
      </c>
      <c r="H356" s="285">
        <f>G356</f>
        <v>98000</v>
      </c>
      <c r="I356" s="285">
        <f t="shared" si="268"/>
        <v>0</v>
      </c>
      <c r="J356" s="27">
        <f t="shared" si="269"/>
        <v>0</v>
      </c>
      <c r="K356" s="27"/>
      <c r="L356" s="300" t="s">
        <v>694</v>
      </c>
      <c r="M356" s="204"/>
      <c r="N356" s="204"/>
      <c r="O356" s="204"/>
      <c r="P356" s="204"/>
      <c r="Q356" s="204"/>
    </row>
    <row r="357" spans="1:22" ht="38.25" customHeight="1" x14ac:dyDescent="0.25">
      <c r="A357" s="61"/>
      <c r="B357" s="25" t="s">
        <v>717</v>
      </c>
      <c r="C357" s="88">
        <v>281</v>
      </c>
      <c r="D357" s="285"/>
      <c r="E357" s="287"/>
      <c r="F357" s="285">
        <v>225792</v>
      </c>
      <c r="G357" s="285">
        <f t="shared" ref="G357" si="270">SUM(D357:F357)</f>
        <v>225792</v>
      </c>
      <c r="H357" s="285">
        <f>323730.26-H356</f>
        <v>225730.26</v>
      </c>
      <c r="I357" s="285">
        <f t="shared" si="268"/>
        <v>61.739999999990687</v>
      </c>
      <c r="J357" s="27">
        <f t="shared" si="269"/>
        <v>61.739999999990687</v>
      </c>
      <c r="K357" s="27"/>
      <c r="L357" s="300"/>
      <c r="M357" s="204"/>
      <c r="N357" s="204"/>
      <c r="O357" s="204"/>
      <c r="P357" s="204"/>
      <c r="Q357" s="204"/>
    </row>
    <row r="358" spans="1:22" ht="21" customHeight="1" x14ac:dyDescent="0.25">
      <c r="A358" s="55">
        <v>5</v>
      </c>
      <c r="B358" s="15" t="s">
        <v>227</v>
      </c>
      <c r="C358" s="15"/>
      <c r="D358" s="16">
        <f t="shared" ref="D358:Q358" si="271">SUM(D359:D368)</f>
        <v>0</v>
      </c>
      <c r="E358" s="16">
        <f t="shared" si="271"/>
        <v>0</v>
      </c>
      <c r="F358" s="16">
        <f t="shared" si="271"/>
        <v>2010400</v>
      </c>
      <c r="G358" s="16">
        <f t="shared" si="271"/>
        <v>2010400</v>
      </c>
      <c r="H358" s="318">
        <f t="shared" si="271"/>
        <v>1706339</v>
      </c>
      <c r="I358" s="318">
        <f t="shared" si="271"/>
        <v>304061</v>
      </c>
      <c r="J358" s="318">
        <f t="shared" si="271"/>
        <v>74207</v>
      </c>
      <c r="K358" s="318">
        <f t="shared" si="271"/>
        <v>229854</v>
      </c>
      <c r="L358" s="299">
        <f t="shared" si="271"/>
        <v>0</v>
      </c>
      <c r="M358" s="16">
        <f t="shared" si="271"/>
        <v>0</v>
      </c>
      <c r="N358" s="16">
        <f t="shared" si="271"/>
        <v>0</v>
      </c>
      <c r="O358" s="16">
        <f t="shared" si="271"/>
        <v>229854</v>
      </c>
      <c r="P358" s="16">
        <f t="shared" si="271"/>
        <v>0</v>
      </c>
      <c r="Q358" s="16">
        <f t="shared" si="271"/>
        <v>0</v>
      </c>
      <c r="R358" s="17">
        <f>E358-'[2]CHI CẤP HUYỆN'!K43</f>
        <v>-5387800</v>
      </c>
      <c r="S358" s="131">
        <f>SUM(S359:S368)</f>
        <v>1596674</v>
      </c>
      <c r="T358" s="155">
        <f>G358-SUM(D358:F358)</f>
        <v>0</v>
      </c>
      <c r="U358" s="155">
        <f>G358-H358-I358</f>
        <v>0</v>
      </c>
      <c r="V358" s="155">
        <f>I358-J358-K358</f>
        <v>0</v>
      </c>
    </row>
    <row r="359" spans="1:22" ht="37.5" customHeight="1" x14ac:dyDescent="0.25">
      <c r="A359" s="61"/>
      <c r="B359" s="25" t="s">
        <v>644</v>
      </c>
      <c r="C359" s="88">
        <v>338</v>
      </c>
      <c r="D359" s="285"/>
      <c r="E359" s="287"/>
      <c r="F359" s="285">
        <v>514700</v>
      </c>
      <c r="G359" s="285">
        <f>SUM(D359:F359)</f>
        <v>514700</v>
      </c>
      <c r="H359" s="285">
        <v>491886</v>
      </c>
      <c r="I359" s="285">
        <f>G359-H359</f>
        <v>22814</v>
      </c>
      <c r="J359" s="27">
        <f t="shared" si="233"/>
        <v>5654</v>
      </c>
      <c r="K359" s="27">
        <v>17160</v>
      </c>
      <c r="L359" s="300"/>
      <c r="M359" s="204"/>
      <c r="N359" s="204"/>
      <c r="O359" s="204">
        <f t="shared" ref="O359:O360" si="272">K359</f>
        <v>17160</v>
      </c>
      <c r="P359" s="204"/>
      <c r="Q359" s="204"/>
      <c r="R359" s="13">
        <v>338</v>
      </c>
      <c r="S359" s="126">
        <v>0</v>
      </c>
    </row>
    <row r="360" spans="1:22" ht="36" customHeight="1" x14ac:dyDescent="0.25">
      <c r="A360" s="61"/>
      <c r="B360" s="25" t="s">
        <v>643</v>
      </c>
      <c r="C360" s="88">
        <v>338</v>
      </c>
      <c r="D360" s="285"/>
      <c r="E360" s="287"/>
      <c r="F360" s="285">
        <v>1105700</v>
      </c>
      <c r="G360" s="285">
        <f t="shared" ref="G360:G367" si="273">SUM(D360:F360)</f>
        <v>1105700</v>
      </c>
      <c r="H360" s="285">
        <v>1097053</v>
      </c>
      <c r="I360" s="285">
        <f t="shared" ref="I360:I367" si="274">G360-H360</f>
        <v>8647</v>
      </c>
      <c r="J360" s="27">
        <f t="shared" si="233"/>
        <v>6253</v>
      </c>
      <c r="K360" s="27">
        <v>2394</v>
      </c>
      <c r="L360" s="300"/>
      <c r="M360" s="204"/>
      <c r="N360" s="204"/>
      <c r="O360" s="204">
        <f t="shared" si="272"/>
        <v>2394</v>
      </c>
      <c r="P360" s="204"/>
      <c r="Q360" s="204"/>
      <c r="R360" s="13">
        <v>283</v>
      </c>
      <c r="S360" s="126">
        <v>1596674</v>
      </c>
    </row>
    <row r="361" spans="1:22" ht="36" customHeight="1" x14ac:dyDescent="0.25">
      <c r="A361" s="61"/>
      <c r="B361" s="25" t="s">
        <v>645</v>
      </c>
      <c r="C361" s="88">
        <v>338</v>
      </c>
      <c r="D361" s="285"/>
      <c r="E361" s="287"/>
      <c r="F361" s="285">
        <v>210300</v>
      </c>
      <c r="G361" s="285">
        <f t="shared" si="273"/>
        <v>210300</v>
      </c>
      <c r="H361" s="285"/>
      <c r="I361" s="285">
        <f t="shared" si="274"/>
        <v>210300</v>
      </c>
      <c r="J361" s="27">
        <f t="shared" si="233"/>
        <v>0</v>
      </c>
      <c r="K361" s="27">
        <f>I361</f>
        <v>210300</v>
      </c>
      <c r="L361" s="300"/>
      <c r="M361" s="204"/>
      <c r="N361" s="204"/>
      <c r="O361" s="204">
        <f>K361</f>
        <v>210300</v>
      </c>
      <c r="P361" s="204"/>
      <c r="Q361" s="204"/>
    </row>
    <row r="362" spans="1:22" ht="37.5" customHeight="1" x14ac:dyDescent="0.25">
      <c r="A362" s="61"/>
      <c r="B362" s="25" t="s">
        <v>646</v>
      </c>
      <c r="C362" s="88">
        <v>338</v>
      </c>
      <c r="D362" s="285"/>
      <c r="E362" s="287"/>
      <c r="F362" s="285">
        <v>7600</v>
      </c>
      <c r="G362" s="285">
        <f t="shared" si="273"/>
        <v>7600</v>
      </c>
      <c r="H362" s="285">
        <f t="shared" ref="H362:H367" si="275">G362</f>
        <v>7600</v>
      </c>
      <c r="I362" s="285">
        <f t="shared" si="274"/>
        <v>0</v>
      </c>
      <c r="J362" s="27">
        <f t="shared" si="233"/>
        <v>0</v>
      </c>
      <c r="K362" s="27"/>
      <c r="L362" s="300"/>
      <c r="M362" s="204"/>
      <c r="N362" s="204"/>
      <c r="O362" s="204"/>
      <c r="P362" s="204"/>
      <c r="Q362" s="204"/>
    </row>
    <row r="363" spans="1:22" ht="50.25" customHeight="1" x14ac:dyDescent="0.25">
      <c r="A363" s="61"/>
      <c r="B363" s="25" t="s">
        <v>647</v>
      </c>
      <c r="C363" s="88">
        <v>338</v>
      </c>
      <c r="D363" s="285"/>
      <c r="E363" s="287"/>
      <c r="F363" s="285">
        <v>4944</v>
      </c>
      <c r="G363" s="285">
        <f t="shared" si="273"/>
        <v>4944</v>
      </c>
      <c r="H363" s="285">
        <f t="shared" si="275"/>
        <v>4944</v>
      </c>
      <c r="I363" s="285">
        <f t="shared" si="274"/>
        <v>0</v>
      </c>
      <c r="J363" s="27">
        <f t="shared" si="233"/>
        <v>0</v>
      </c>
      <c r="K363" s="27"/>
      <c r="L363" s="300"/>
      <c r="M363" s="204"/>
      <c r="N363" s="204"/>
      <c r="O363" s="204"/>
      <c r="P363" s="204"/>
      <c r="Q363" s="204"/>
    </row>
    <row r="364" spans="1:22" ht="38.25" customHeight="1" x14ac:dyDescent="0.25">
      <c r="A364" s="61"/>
      <c r="B364" s="25" t="s">
        <v>652</v>
      </c>
      <c r="C364" s="88">
        <v>338</v>
      </c>
      <c r="D364" s="285"/>
      <c r="E364" s="287"/>
      <c r="F364" s="285">
        <v>18949</v>
      </c>
      <c r="G364" s="285">
        <f t="shared" si="273"/>
        <v>18949</v>
      </c>
      <c r="H364" s="285">
        <f t="shared" si="275"/>
        <v>18949</v>
      </c>
      <c r="I364" s="285">
        <f t="shared" si="274"/>
        <v>0</v>
      </c>
      <c r="J364" s="27">
        <f t="shared" si="233"/>
        <v>0</v>
      </c>
      <c r="K364" s="27"/>
      <c r="L364" s="300"/>
      <c r="M364" s="204"/>
      <c r="N364" s="204"/>
      <c r="O364" s="204"/>
      <c r="P364" s="204"/>
      <c r="Q364" s="204"/>
    </row>
    <row r="365" spans="1:22" ht="51" customHeight="1" x14ac:dyDescent="0.25">
      <c r="A365" s="61"/>
      <c r="B365" s="25" t="s">
        <v>654</v>
      </c>
      <c r="C365" s="88">
        <v>338</v>
      </c>
      <c r="D365" s="285"/>
      <c r="E365" s="287"/>
      <c r="F365" s="285">
        <v>7980</v>
      </c>
      <c r="G365" s="285">
        <f t="shared" si="273"/>
        <v>7980</v>
      </c>
      <c r="H365" s="285">
        <f t="shared" si="275"/>
        <v>7980</v>
      </c>
      <c r="I365" s="285">
        <f t="shared" si="274"/>
        <v>0</v>
      </c>
      <c r="J365" s="27">
        <f t="shared" si="233"/>
        <v>0</v>
      </c>
      <c r="K365" s="27"/>
      <c r="L365" s="300"/>
      <c r="M365" s="204"/>
      <c r="N365" s="204"/>
      <c r="O365" s="204"/>
      <c r="P365" s="204"/>
      <c r="Q365" s="204"/>
    </row>
    <row r="366" spans="1:22" ht="69.75" customHeight="1" x14ac:dyDescent="0.25">
      <c r="A366" s="61"/>
      <c r="B366" s="25" t="s">
        <v>655</v>
      </c>
      <c r="C366" s="88">
        <v>338</v>
      </c>
      <c r="D366" s="285"/>
      <c r="E366" s="287"/>
      <c r="F366" s="285">
        <v>44139</v>
      </c>
      <c r="G366" s="285">
        <f t="shared" si="273"/>
        <v>44139</v>
      </c>
      <c r="H366" s="285">
        <f t="shared" si="275"/>
        <v>44139</v>
      </c>
      <c r="I366" s="285">
        <f t="shared" si="274"/>
        <v>0</v>
      </c>
      <c r="J366" s="27">
        <f t="shared" si="233"/>
        <v>0</v>
      </c>
      <c r="K366" s="27"/>
      <c r="L366" s="300"/>
      <c r="M366" s="204"/>
      <c r="N366" s="204"/>
      <c r="O366" s="204"/>
      <c r="P366" s="204"/>
      <c r="Q366" s="204"/>
    </row>
    <row r="367" spans="1:22" ht="51" customHeight="1" x14ac:dyDescent="0.25">
      <c r="A367" s="61"/>
      <c r="B367" s="25" t="s">
        <v>664</v>
      </c>
      <c r="C367" s="88">
        <v>428</v>
      </c>
      <c r="D367" s="285"/>
      <c r="E367" s="287"/>
      <c r="F367" s="285">
        <v>7088</v>
      </c>
      <c r="G367" s="285">
        <f t="shared" si="273"/>
        <v>7088</v>
      </c>
      <c r="H367" s="285">
        <f t="shared" si="275"/>
        <v>7088</v>
      </c>
      <c r="I367" s="285">
        <f t="shared" si="274"/>
        <v>0</v>
      </c>
      <c r="J367" s="27">
        <f t="shared" si="233"/>
        <v>0</v>
      </c>
      <c r="K367" s="27"/>
      <c r="L367" s="300"/>
      <c r="M367" s="204"/>
      <c r="N367" s="204"/>
      <c r="O367" s="204"/>
      <c r="P367" s="204"/>
      <c r="Q367" s="204"/>
    </row>
    <row r="368" spans="1:22" ht="35.25" customHeight="1" x14ac:dyDescent="0.25">
      <c r="A368" s="61"/>
      <c r="B368" s="25" t="s">
        <v>699</v>
      </c>
      <c r="C368" s="88">
        <v>428</v>
      </c>
      <c r="D368" s="285"/>
      <c r="E368" s="287"/>
      <c r="F368" s="285">
        <v>89000</v>
      </c>
      <c r="G368" s="285">
        <f t="shared" ref="G368" si="276">SUM(D368:F368)</f>
        <v>89000</v>
      </c>
      <c r="H368" s="285">
        <v>26700</v>
      </c>
      <c r="I368" s="285">
        <f t="shared" ref="I368" si="277">G368-H368</f>
        <v>62300</v>
      </c>
      <c r="J368" s="27">
        <f t="shared" ref="J368" si="278">I368-K368</f>
        <v>62300</v>
      </c>
      <c r="K368" s="27"/>
      <c r="L368" s="300" t="s">
        <v>694</v>
      </c>
      <c r="M368" s="204"/>
      <c r="N368" s="204"/>
      <c r="O368" s="204"/>
      <c r="P368" s="204"/>
      <c r="Q368" s="204"/>
    </row>
    <row r="369" spans="1:22" ht="16.5" x14ac:dyDescent="0.25">
      <c r="A369" s="72" t="s">
        <v>144</v>
      </c>
      <c r="B369" s="73" t="s">
        <v>145</v>
      </c>
      <c r="C369" s="73"/>
      <c r="D369" s="50">
        <f t="shared" ref="D369:Q369" si="279">D370+D382+D384+D388</f>
        <v>0</v>
      </c>
      <c r="E369" s="50">
        <f t="shared" si="279"/>
        <v>637000</v>
      </c>
      <c r="F369" s="50">
        <f t="shared" si="279"/>
        <v>187894</v>
      </c>
      <c r="G369" s="50">
        <f t="shared" si="279"/>
        <v>824894</v>
      </c>
      <c r="H369" s="50">
        <f t="shared" si="279"/>
        <v>554726.0830000001</v>
      </c>
      <c r="I369" s="50">
        <f t="shared" si="279"/>
        <v>270167.91700000002</v>
      </c>
      <c r="J369" s="50">
        <f t="shared" si="279"/>
        <v>270167.91700000002</v>
      </c>
      <c r="K369" s="50">
        <f t="shared" si="279"/>
        <v>0</v>
      </c>
      <c r="L369" s="303">
        <f t="shared" si="279"/>
        <v>0</v>
      </c>
      <c r="M369" s="50">
        <f t="shared" si="279"/>
        <v>0</v>
      </c>
      <c r="N369" s="50">
        <f t="shared" si="279"/>
        <v>0</v>
      </c>
      <c r="O369" s="50">
        <f t="shared" si="279"/>
        <v>0</v>
      </c>
      <c r="P369" s="50">
        <f t="shared" si="279"/>
        <v>0</v>
      </c>
      <c r="Q369" s="50">
        <f t="shared" si="279"/>
        <v>0</v>
      </c>
      <c r="R369" s="17">
        <f>E369-'[2]CHI CẤP HUYỆN'!K56</f>
        <v>13160</v>
      </c>
      <c r="T369" s="155">
        <f>G369-SUM(D369:F369)</f>
        <v>0</v>
      </c>
      <c r="U369" s="155">
        <f>G369-H369-I369</f>
        <v>0</v>
      </c>
      <c r="V369" s="155">
        <f>I369-J369-K369</f>
        <v>0</v>
      </c>
    </row>
    <row r="370" spans="1:22" ht="16.5" x14ac:dyDescent="0.25">
      <c r="A370" s="55">
        <v>1</v>
      </c>
      <c r="B370" s="315" t="s">
        <v>146</v>
      </c>
      <c r="C370" s="56"/>
      <c r="D370" s="16">
        <f t="shared" ref="D370:Q370" si="280">SUM(D371:D381)</f>
        <v>0</v>
      </c>
      <c r="E370" s="16">
        <f t="shared" si="280"/>
        <v>247000</v>
      </c>
      <c r="F370" s="16">
        <f t="shared" si="280"/>
        <v>156694</v>
      </c>
      <c r="G370" s="16">
        <f t="shared" si="280"/>
        <v>403694</v>
      </c>
      <c r="H370" s="16">
        <f t="shared" si="280"/>
        <v>260297.92</v>
      </c>
      <c r="I370" s="16">
        <f t="shared" si="280"/>
        <v>143396.07999999999</v>
      </c>
      <c r="J370" s="16">
        <f t="shared" si="280"/>
        <v>143396.07999999999</v>
      </c>
      <c r="K370" s="16">
        <f t="shared" si="280"/>
        <v>0</v>
      </c>
      <c r="L370" s="299">
        <f t="shared" si="280"/>
        <v>0</v>
      </c>
      <c r="M370" s="16">
        <f t="shared" si="280"/>
        <v>0</v>
      </c>
      <c r="N370" s="16">
        <f t="shared" si="280"/>
        <v>0</v>
      </c>
      <c r="O370" s="16">
        <f t="shared" si="280"/>
        <v>0</v>
      </c>
      <c r="P370" s="16">
        <f t="shared" si="280"/>
        <v>0</v>
      </c>
      <c r="Q370" s="16">
        <f t="shared" si="280"/>
        <v>0</v>
      </c>
      <c r="R370" s="17"/>
      <c r="S370" s="131">
        <f>SUM(S371:S372)</f>
        <v>260063.92</v>
      </c>
      <c r="T370" s="155">
        <f>G370-SUM(D370:F370)</f>
        <v>0</v>
      </c>
      <c r="U370" s="155">
        <f>G370-H370-I370</f>
        <v>0</v>
      </c>
      <c r="V370" s="155">
        <f>I370-J370-K370</f>
        <v>0</v>
      </c>
    </row>
    <row r="371" spans="1:22" s="2" customFormat="1" x14ac:dyDescent="0.25">
      <c r="A371" s="61"/>
      <c r="B371" s="63" t="s">
        <v>147</v>
      </c>
      <c r="C371" s="63">
        <v>362</v>
      </c>
      <c r="D371" s="27"/>
      <c r="E371" s="27">
        <v>120000</v>
      </c>
      <c r="F371" s="27"/>
      <c r="G371" s="27">
        <f>SUM(D371:F371)</f>
        <v>120000</v>
      </c>
      <c r="H371" s="27">
        <f>S371-SUM(H375:H378)</f>
        <v>79027.920000000013</v>
      </c>
      <c r="I371" s="27">
        <f>G371-H371</f>
        <v>40972.079999999987</v>
      </c>
      <c r="J371" s="27">
        <f t="shared" ref="J371:J389" si="281">I371-K371</f>
        <v>40972.079999999987</v>
      </c>
      <c r="K371" s="27"/>
      <c r="L371" s="300"/>
      <c r="M371" s="204"/>
      <c r="N371" s="204"/>
      <c r="O371" s="204"/>
      <c r="P371" s="204"/>
      <c r="Q371" s="204"/>
      <c r="R371" s="2">
        <v>362</v>
      </c>
      <c r="S371" s="128">
        <v>166027.92000000001</v>
      </c>
    </row>
    <row r="372" spans="1:22" s="2" customFormat="1" ht="24" customHeight="1" x14ac:dyDescent="0.25">
      <c r="A372" s="61"/>
      <c r="B372" s="63" t="s">
        <v>577</v>
      </c>
      <c r="C372" s="63">
        <v>362</v>
      </c>
      <c r="D372" s="285"/>
      <c r="E372" s="27">
        <v>10000</v>
      </c>
      <c r="F372" s="285"/>
      <c r="G372" s="27">
        <f t="shared" ref="G372:G378" si="282">SUM(D372:F372)</f>
        <v>10000</v>
      </c>
      <c r="H372" s="27"/>
      <c r="I372" s="27">
        <f t="shared" ref="I372:I378" si="283">G372-H372</f>
        <v>10000</v>
      </c>
      <c r="J372" s="27">
        <f t="shared" si="281"/>
        <v>10000</v>
      </c>
      <c r="K372" s="27"/>
      <c r="L372" s="300"/>
      <c r="M372" s="204"/>
      <c r="N372" s="204"/>
      <c r="O372" s="204"/>
      <c r="P372" s="204"/>
      <c r="Q372" s="204"/>
      <c r="R372" s="2">
        <v>428</v>
      </c>
      <c r="S372" s="128">
        <v>94036</v>
      </c>
    </row>
    <row r="373" spans="1:22" s="2" customFormat="1" ht="53.25" customHeight="1" x14ac:dyDescent="0.25">
      <c r="A373" s="61"/>
      <c r="B373" s="63" t="s">
        <v>578</v>
      </c>
      <c r="C373" s="63">
        <v>362</v>
      </c>
      <c r="D373" s="285"/>
      <c r="E373" s="27">
        <v>10000</v>
      </c>
      <c r="F373" s="285"/>
      <c r="G373" s="27">
        <f t="shared" si="282"/>
        <v>10000</v>
      </c>
      <c r="H373" s="27"/>
      <c r="I373" s="27">
        <f t="shared" si="283"/>
        <v>10000</v>
      </c>
      <c r="J373" s="27">
        <f t="shared" si="281"/>
        <v>10000</v>
      </c>
      <c r="K373" s="27"/>
      <c r="L373" s="300"/>
      <c r="M373" s="204"/>
      <c r="N373" s="204"/>
      <c r="O373" s="204"/>
      <c r="P373" s="204"/>
      <c r="Q373" s="204"/>
      <c r="S373" s="128"/>
    </row>
    <row r="374" spans="1:22" s="2" customFormat="1" x14ac:dyDescent="0.25">
      <c r="A374" s="61"/>
      <c r="B374" s="63" t="s">
        <v>579</v>
      </c>
      <c r="C374" s="63">
        <v>362</v>
      </c>
      <c r="D374" s="285"/>
      <c r="E374" s="27">
        <f>5*2000</f>
        <v>10000</v>
      </c>
      <c r="F374" s="285"/>
      <c r="G374" s="27">
        <f t="shared" si="282"/>
        <v>10000</v>
      </c>
      <c r="H374" s="27"/>
      <c r="I374" s="27">
        <f t="shared" si="283"/>
        <v>10000</v>
      </c>
      <c r="J374" s="27">
        <f t="shared" si="281"/>
        <v>10000</v>
      </c>
      <c r="K374" s="27"/>
      <c r="L374" s="300"/>
      <c r="M374" s="204"/>
      <c r="N374" s="204"/>
      <c r="O374" s="204"/>
      <c r="P374" s="204"/>
      <c r="Q374" s="204"/>
      <c r="S374" s="128"/>
    </row>
    <row r="375" spans="1:22" s="2" customFormat="1" x14ac:dyDescent="0.25">
      <c r="A375" s="61"/>
      <c r="B375" s="63" t="s">
        <v>580</v>
      </c>
      <c r="C375" s="63">
        <v>362</v>
      </c>
      <c r="D375" s="285"/>
      <c r="E375" s="285">
        <f>7*5000</f>
        <v>35000</v>
      </c>
      <c r="F375" s="285"/>
      <c r="G375" s="27">
        <f t="shared" si="282"/>
        <v>35000</v>
      </c>
      <c r="H375" s="27">
        <f>G375</f>
        <v>35000</v>
      </c>
      <c r="I375" s="27">
        <f t="shared" si="283"/>
        <v>0</v>
      </c>
      <c r="J375" s="27">
        <f t="shared" si="281"/>
        <v>0</v>
      </c>
      <c r="K375" s="27"/>
      <c r="L375" s="300"/>
      <c r="M375" s="204"/>
      <c r="N375" s="204"/>
      <c r="O375" s="204"/>
      <c r="P375" s="204"/>
      <c r="Q375" s="204"/>
      <c r="S375" s="128"/>
    </row>
    <row r="376" spans="1:22" s="2" customFormat="1" x14ac:dyDescent="0.25">
      <c r="A376" s="61"/>
      <c r="B376" s="63" t="s">
        <v>527</v>
      </c>
      <c r="C376" s="63">
        <v>362</v>
      </c>
      <c r="D376" s="285"/>
      <c r="E376" s="285">
        <v>10000</v>
      </c>
      <c r="F376" s="285"/>
      <c r="G376" s="27">
        <f t="shared" si="282"/>
        <v>10000</v>
      </c>
      <c r="H376" s="27"/>
      <c r="I376" s="27">
        <f t="shared" si="283"/>
        <v>10000</v>
      </c>
      <c r="J376" s="27">
        <f t="shared" si="281"/>
        <v>10000</v>
      </c>
      <c r="K376" s="27"/>
      <c r="L376" s="300"/>
      <c r="M376" s="204"/>
      <c r="N376" s="204"/>
      <c r="O376" s="204"/>
      <c r="P376" s="204"/>
      <c r="Q376" s="204"/>
      <c r="S376" s="128"/>
    </row>
    <row r="377" spans="1:22" s="2" customFormat="1" x14ac:dyDescent="0.25">
      <c r="A377" s="61"/>
      <c r="B377" s="63" t="s">
        <v>581</v>
      </c>
      <c r="C377" s="63">
        <v>362</v>
      </c>
      <c r="D377" s="285"/>
      <c r="E377" s="285">
        <v>7000</v>
      </c>
      <c r="F377" s="285"/>
      <c r="G377" s="27">
        <f t="shared" si="282"/>
        <v>7000</v>
      </c>
      <c r="H377" s="27">
        <f>G377</f>
        <v>7000</v>
      </c>
      <c r="I377" s="27">
        <f t="shared" si="283"/>
        <v>0</v>
      </c>
      <c r="J377" s="27">
        <f t="shared" si="281"/>
        <v>0</v>
      </c>
      <c r="K377" s="27"/>
      <c r="L377" s="300"/>
      <c r="M377" s="204"/>
      <c r="N377" s="204"/>
      <c r="O377" s="204"/>
      <c r="P377" s="204"/>
      <c r="Q377" s="204"/>
      <c r="S377" s="128"/>
    </row>
    <row r="378" spans="1:22" s="2" customFormat="1" x14ac:dyDescent="0.25">
      <c r="A378" s="61"/>
      <c r="B378" s="63" t="s">
        <v>582</v>
      </c>
      <c r="C378" s="63">
        <v>362</v>
      </c>
      <c r="D378" s="285"/>
      <c r="E378" s="285">
        <f>3*15000</f>
        <v>45000</v>
      </c>
      <c r="F378" s="285"/>
      <c r="G378" s="27">
        <f t="shared" si="282"/>
        <v>45000</v>
      </c>
      <c r="H378" s="27">
        <f>G378</f>
        <v>45000</v>
      </c>
      <c r="I378" s="27">
        <f t="shared" si="283"/>
        <v>0</v>
      </c>
      <c r="J378" s="27">
        <f t="shared" si="281"/>
        <v>0</v>
      </c>
      <c r="K378" s="27"/>
      <c r="L378" s="300"/>
      <c r="M378" s="204"/>
      <c r="N378" s="204"/>
      <c r="O378" s="204"/>
      <c r="P378" s="204"/>
      <c r="Q378" s="204"/>
      <c r="S378" s="128"/>
    </row>
    <row r="379" spans="1:22" s="2" customFormat="1" ht="31.5" x14ac:dyDescent="0.25">
      <c r="A379" s="61"/>
      <c r="B379" s="63" t="s">
        <v>667</v>
      </c>
      <c r="C379" s="63">
        <v>428</v>
      </c>
      <c r="D379" s="285"/>
      <c r="E379" s="285"/>
      <c r="F379" s="285">
        <v>44000</v>
      </c>
      <c r="G379" s="27">
        <f t="shared" ref="G379" si="284">SUM(D379:F379)</f>
        <v>44000</v>
      </c>
      <c r="H379" s="27">
        <f>G379</f>
        <v>44000</v>
      </c>
      <c r="I379" s="27">
        <f t="shared" ref="I379" si="285">G379-H379</f>
        <v>0</v>
      </c>
      <c r="J379" s="27">
        <f t="shared" ref="J379" si="286">I379-K379</f>
        <v>0</v>
      </c>
      <c r="K379" s="27"/>
      <c r="L379" s="300"/>
      <c r="M379" s="204"/>
      <c r="N379" s="204"/>
      <c r="O379" s="204"/>
      <c r="P379" s="204"/>
      <c r="Q379" s="204"/>
      <c r="S379" s="128"/>
    </row>
    <row r="380" spans="1:22" s="2" customFormat="1" ht="31.5" x14ac:dyDescent="0.25">
      <c r="A380" s="61"/>
      <c r="B380" s="63" t="s">
        <v>675</v>
      </c>
      <c r="C380" s="63">
        <v>428</v>
      </c>
      <c r="D380" s="285"/>
      <c r="E380" s="285"/>
      <c r="F380" s="285">
        <v>50270</v>
      </c>
      <c r="G380" s="27">
        <f t="shared" ref="G380" si="287">SUM(D380:F380)</f>
        <v>50270</v>
      </c>
      <c r="H380" s="27">
        <f>G380</f>
        <v>50270</v>
      </c>
      <c r="I380" s="27">
        <f t="shared" ref="I380" si="288">G380-H380</f>
        <v>0</v>
      </c>
      <c r="J380" s="27">
        <f t="shared" ref="J380" si="289">I380-K380</f>
        <v>0</v>
      </c>
      <c r="K380" s="27"/>
      <c r="L380" s="300"/>
      <c r="M380" s="204"/>
      <c r="N380" s="204"/>
      <c r="O380" s="204"/>
      <c r="P380" s="204"/>
      <c r="Q380" s="204"/>
      <c r="S380" s="128"/>
    </row>
    <row r="381" spans="1:22" s="2" customFormat="1" x14ac:dyDescent="0.25">
      <c r="A381" s="61"/>
      <c r="B381" s="63" t="s">
        <v>689</v>
      </c>
      <c r="C381" s="63">
        <v>362</v>
      </c>
      <c r="D381" s="285"/>
      <c r="E381" s="285"/>
      <c r="F381" s="285">
        <v>62424</v>
      </c>
      <c r="G381" s="27">
        <f t="shared" ref="G381" si="290">SUM(D381:F381)</f>
        <v>62424</v>
      </c>
      <c r="H381" s="27"/>
      <c r="I381" s="27">
        <f t="shared" ref="I381" si="291">G381-H381</f>
        <v>62424</v>
      </c>
      <c r="J381" s="27">
        <f t="shared" ref="J381" si="292">I381-K381</f>
        <v>62424</v>
      </c>
      <c r="K381" s="27"/>
      <c r="L381" s="300" t="s">
        <v>692</v>
      </c>
      <c r="M381" s="204"/>
      <c r="N381" s="204"/>
      <c r="O381" s="204"/>
      <c r="P381" s="204"/>
      <c r="Q381" s="204"/>
      <c r="S381" s="128"/>
    </row>
    <row r="382" spans="1:22" ht="16.5" x14ac:dyDescent="0.25">
      <c r="A382" s="55">
        <v>2</v>
      </c>
      <c r="B382" s="56" t="s">
        <v>149</v>
      </c>
      <c r="C382" s="56"/>
      <c r="D382" s="16">
        <f t="shared" ref="D382:Q382" si="293">SUM(D383:D383)</f>
        <v>0</v>
      </c>
      <c r="E382" s="16">
        <f t="shared" si="293"/>
        <v>130000</v>
      </c>
      <c r="F382" s="16">
        <f t="shared" si="293"/>
        <v>0</v>
      </c>
      <c r="G382" s="318">
        <f t="shared" si="293"/>
        <v>130000</v>
      </c>
      <c r="H382" s="318">
        <f t="shared" si="293"/>
        <v>80537.5</v>
      </c>
      <c r="I382" s="318">
        <f t="shared" si="293"/>
        <v>49462.5</v>
      </c>
      <c r="J382" s="318">
        <f t="shared" si="293"/>
        <v>49462.5</v>
      </c>
      <c r="K382" s="318">
        <f t="shared" si="293"/>
        <v>0</v>
      </c>
      <c r="L382" s="299">
        <f t="shared" si="293"/>
        <v>0</v>
      </c>
      <c r="M382" s="16">
        <f t="shared" si="293"/>
        <v>0</v>
      </c>
      <c r="N382" s="16">
        <f t="shared" si="293"/>
        <v>0</v>
      </c>
      <c r="O382" s="16">
        <f t="shared" si="293"/>
        <v>0</v>
      </c>
      <c r="P382" s="16">
        <f t="shared" si="293"/>
        <v>0</v>
      </c>
      <c r="Q382" s="16">
        <f t="shared" si="293"/>
        <v>0</v>
      </c>
      <c r="T382" s="155">
        <f>G382-SUM(D382:F382)</f>
        <v>0</v>
      </c>
      <c r="U382" s="155">
        <f>G382-H382-I382</f>
        <v>0</v>
      </c>
      <c r="V382" s="155">
        <f>I382-J382-K382</f>
        <v>0</v>
      </c>
    </row>
    <row r="383" spans="1:22" s="22" customFormat="1" x14ac:dyDescent="0.25">
      <c r="A383" s="64"/>
      <c r="B383" s="63" t="s">
        <v>583</v>
      </c>
      <c r="C383" s="63">
        <v>362</v>
      </c>
      <c r="D383" s="285"/>
      <c r="E383" s="285">
        <v>130000</v>
      </c>
      <c r="F383" s="285"/>
      <c r="G383" s="27">
        <f t="shared" ref="G383" si="294">SUM(D383:F383)</f>
        <v>130000</v>
      </c>
      <c r="H383" s="285">
        <v>80537.5</v>
      </c>
      <c r="I383" s="285">
        <f t="shared" ref="I383" si="295">G383-H383</f>
        <v>49462.5</v>
      </c>
      <c r="J383" s="27">
        <f t="shared" si="281"/>
        <v>49462.5</v>
      </c>
      <c r="K383" s="27"/>
      <c r="L383" s="300"/>
      <c r="M383" s="204"/>
      <c r="N383" s="204"/>
      <c r="O383" s="204"/>
      <c r="P383" s="204"/>
      <c r="Q383" s="204"/>
      <c r="R383" s="22">
        <v>362</v>
      </c>
      <c r="S383" s="30">
        <v>56340.500999999997</v>
      </c>
    </row>
    <row r="384" spans="1:22" ht="16.5" x14ac:dyDescent="0.25">
      <c r="A384" s="55">
        <v>3</v>
      </c>
      <c r="B384" s="56" t="s">
        <v>150</v>
      </c>
      <c r="C384" s="56"/>
      <c r="D384" s="16">
        <f t="shared" ref="D384:Q384" si="296">SUM(D385:D387)</f>
        <v>0</v>
      </c>
      <c r="E384" s="16">
        <f t="shared" si="296"/>
        <v>130000</v>
      </c>
      <c r="F384" s="16">
        <f t="shared" si="296"/>
        <v>20550</v>
      </c>
      <c r="G384" s="318">
        <f t="shared" si="296"/>
        <v>150550</v>
      </c>
      <c r="H384" s="318">
        <f t="shared" si="296"/>
        <v>107742.178</v>
      </c>
      <c r="I384" s="318">
        <f t="shared" si="296"/>
        <v>42807.822</v>
      </c>
      <c r="J384" s="318">
        <f t="shared" si="296"/>
        <v>42807.822</v>
      </c>
      <c r="K384" s="318">
        <f t="shared" si="296"/>
        <v>0</v>
      </c>
      <c r="L384" s="299">
        <f t="shared" si="296"/>
        <v>0</v>
      </c>
      <c r="M384" s="16">
        <f t="shared" si="296"/>
        <v>0</v>
      </c>
      <c r="N384" s="16">
        <f t="shared" si="296"/>
        <v>0</v>
      </c>
      <c r="O384" s="16">
        <f t="shared" si="296"/>
        <v>0</v>
      </c>
      <c r="P384" s="16">
        <f t="shared" si="296"/>
        <v>0</v>
      </c>
      <c r="Q384" s="16">
        <f t="shared" si="296"/>
        <v>0</v>
      </c>
      <c r="S384" s="131">
        <f>SUM(S385:S386)</f>
        <v>124996.06200000001</v>
      </c>
      <c r="T384" s="155">
        <f>G384-SUM(D384:F384)</f>
        <v>0</v>
      </c>
      <c r="U384" s="155">
        <f>G384-H384-I384</f>
        <v>0</v>
      </c>
      <c r="V384" s="155">
        <f>I384-J384-K384</f>
        <v>0</v>
      </c>
    </row>
    <row r="385" spans="1:22" s="2" customFormat="1" x14ac:dyDescent="0.25">
      <c r="A385" s="61"/>
      <c r="B385" s="63" t="s">
        <v>583</v>
      </c>
      <c r="C385" s="63">
        <v>362</v>
      </c>
      <c r="D385" s="285"/>
      <c r="E385" s="285">
        <v>130000</v>
      </c>
      <c r="F385" s="285"/>
      <c r="G385" s="285">
        <f>SUM(D385:F385)</f>
        <v>130000</v>
      </c>
      <c r="H385" s="285">
        <f>107742.178-H387</f>
        <v>94042.178</v>
      </c>
      <c r="I385" s="285">
        <f>G385-H385</f>
        <v>35957.822</v>
      </c>
      <c r="J385" s="27">
        <f t="shared" si="281"/>
        <v>35957.822</v>
      </c>
      <c r="K385" s="27"/>
      <c r="L385" s="300"/>
      <c r="M385" s="204"/>
      <c r="N385" s="204"/>
      <c r="O385" s="204"/>
      <c r="P385" s="204"/>
      <c r="Q385" s="204"/>
      <c r="R385" s="2">
        <v>362</v>
      </c>
      <c r="S385" s="128">
        <v>110776.06200000001</v>
      </c>
    </row>
    <row r="386" spans="1:22" s="2" customFormat="1" ht="31.5" x14ac:dyDescent="0.25">
      <c r="A386" s="61"/>
      <c r="B386" s="63" t="s">
        <v>678</v>
      </c>
      <c r="C386" s="63">
        <v>428</v>
      </c>
      <c r="D386" s="285"/>
      <c r="E386" s="285"/>
      <c r="F386" s="285">
        <v>6850</v>
      </c>
      <c r="G386" s="285">
        <f t="shared" ref="G386:G389" si="297">SUM(D386:F386)</f>
        <v>6850</v>
      </c>
      <c r="H386" s="285"/>
      <c r="I386" s="285">
        <f t="shared" ref="I386:I389" si="298">G386-H386</f>
        <v>6850</v>
      </c>
      <c r="J386" s="27">
        <f t="shared" si="281"/>
        <v>6850</v>
      </c>
      <c r="K386" s="27"/>
      <c r="L386" s="300"/>
      <c r="M386" s="204"/>
      <c r="N386" s="204"/>
      <c r="O386" s="204"/>
      <c r="P386" s="204"/>
      <c r="Q386" s="204"/>
      <c r="R386" s="2">
        <v>428</v>
      </c>
      <c r="S386" s="128">
        <v>14220</v>
      </c>
    </row>
    <row r="387" spans="1:22" s="2" customFormat="1" ht="31.5" x14ac:dyDescent="0.25">
      <c r="A387" s="61"/>
      <c r="B387" s="63" t="s">
        <v>690</v>
      </c>
      <c r="C387" s="63">
        <v>362</v>
      </c>
      <c r="D387" s="285"/>
      <c r="E387" s="285"/>
      <c r="F387" s="285">
        <v>13700</v>
      </c>
      <c r="G387" s="285">
        <f t="shared" si="297"/>
        <v>13700</v>
      </c>
      <c r="H387" s="285">
        <f>G387</f>
        <v>13700</v>
      </c>
      <c r="I387" s="285">
        <f t="shared" si="298"/>
        <v>0</v>
      </c>
      <c r="J387" s="27">
        <f t="shared" si="281"/>
        <v>0</v>
      </c>
      <c r="K387" s="27"/>
      <c r="L387" s="300" t="s">
        <v>692</v>
      </c>
      <c r="M387" s="204"/>
      <c r="N387" s="204"/>
      <c r="O387" s="204"/>
      <c r="P387" s="204"/>
      <c r="Q387" s="204"/>
      <c r="S387" s="128"/>
    </row>
    <row r="388" spans="1:22" ht="16.5" x14ac:dyDescent="0.25">
      <c r="A388" s="55">
        <v>4</v>
      </c>
      <c r="B388" s="56" t="s">
        <v>151</v>
      </c>
      <c r="C388" s="56"/>
      <c r="D388" s="16">
        <f t="shared" ref="D388:Q388" si="299">SUM(D389:D390)</f>
        <v>0</v>
      </c>
      <c r="E388" s="16">
        <f t="shared" si="299"/>
        <v>130000</v>
      </c>
      <c r="F388" s="16">
        <f t="shared" si="299"/>
        <v>10650</v>
      </c>
      <c r="G388" s="318">
        <f t="shared" si="299"/>
        <v>140650</v>
      </c>
      <c r="H388" s="318">
        <f t="shared" si="299"/>
        <v>106148.485</v>
      </c>
      <c r="I388" s="318">
        <f t="shared" si="299"/>
        <v>34501.514999999999</v>
      </c>
      <c r="J388" s="318">
        <f t="shared" si="299"/>
        <v>34501.514999999999</v>
      </c>
      <c r="K388" s="318">
        <f t="shared" si="299"/>
        <v>0</v>
      </c>
      <c r="L388" s="299">
        <f t="shared" si="299"/>
        <v>0</v>
      </c>
      <c r="M388" s="16">
        <f t="shared" si="299"/>
        <v>0</v>
      </c>
      <c r="N388" s="16">
        <f t="shared" si="299"/>
        <v>0</v>
      </c>
      <c r="O388" s="16">
        <f t="shared" si="299"/>
        <v>0</v>
      </c>
      <c r="P388" s="16">
        <f t="shared" si="299"/>
        <v>0</v>
      </c>
      <c r="Q388" s="16">
        <f t="shared" si="299"/>
        <v>0</v>
      </c>
      <c r="T388" s="155">
        <f>G388-SUM(D388:F388)</f>
        <v>0</v>
      </c>
      <c r="U388" s="155">
        <f>G388-H388-I388</f>
        <v>0</v>
      </c>
      <c r="V388" s="155">
        <f>I388-J388-K388</f>
        <v>0</v>
      </c>
    </row>
    <row r="389" spans="1:22" s="2" customFormat="1" x14ac:dyDescent="0.25">
      <c r="A389" s="61"/>
      <c r="B389" s="63" t="s">
        <v>583</v>
      </c>
      <c r="C389" s="63"/>
      <c r="D389" s="285"/>
      <c r="E389" s="285">
        <v>130000</v>
      </c>
      <c r="F389" s="285"/>
      <c r="G389" s="285">
        <f t="shared" si="297"/>
        <v>130000</v>
      </c>
      <c r="H389" s="285">
        <v>106148.485</v>
      </c>
      <c r="I389" s="285">
        <f t="shared" si="298"/>
        <v>23851.514999999999</v>
      </c>
      <c r="J389" s="27">
        <f t="shared" si="281"/>
        <v>23851.514999999999</v>
      </c>
      <c r="K389" s="27"/>
      <c r="L389" s="300"/>
      <c r="M389" s="204"/>
      <c r="N389" s="204"/>
      <c r="O389" s="204"/>
      <c r="P389" s="204"/>
      <c r="Q389" s="204"/>
      <c r="R389" s="2">
        <v>362</v>
      </c>
      <c r="S389" s="128">
        <v>102325</v>
      </c>
    </row>
    <row r="390" spans="1:22" s="2" customFormat="1" x14ac:dyDescent="0.25">
      <c r="A390" s="61"/>
      <c r="B390" s="63" t="s">
        <v>677</v>
      </c>
      <c r="C390" s="63">
        <v>428</v>
      </c>
      <c r="D390" s="285"/>
      <c r="E390" s="285"/>
      <c r="F390" s="285">
        <v>10650</v>
      </c>
      <c r="G390" s="285">
        <f t="shared" ref="G390" si="300">SUM(D390:F390)</f>
        <v>10650</v>
      </c>
      <c r="H390" s="285"/>
      <c r="I390" s="285">
        <f t="shared" ref="I390" si="301">G390-H390</f>
        <v>10650</v>
      </c>
      <c r="J390" s="27">
        <f t="shared" ref="J390" si="302">I390-K390</f>
        <v>10650</v>
      </c>
      <c r="K390" s="27"/>
      <c r="L390" s="300"/>
      <c r="M390" s="204"/>
      <c r="N390" s="204"/>
      <c r="O390" s="204"/>
      <c r="P390" s="204"/>
      <c r="Q390" s="204"/>
      <c r="R390" s="2">
        <v>428</v>
      </c>
      <c r="S390" s="128">
        <v>14220</v>
      </c>
    </row>
    <row r="391" spans="1:22" s="22" customFormat="1" ht="16.5" x14ac:dyDescent="0.25">
      <c r="A391" s="48" t="s">
        <v>152</v>
      </c>
      <c r="B391" s="49" t="s">
        <v>153</v>
      </c>
      <c r="C391" s="49"/>
      <c r="D391" s="50">
        <f t="shared" ref="D391:Q391" si="303">D392+D402</f>
        <v>0</v>
      </c>
      <c r="E391" s="50">
        <f t="shared" si="303"/>
        <v>3968100</v>
      </c>
      <c r="F391" s="50">
        <f t="shared" si="303"/>
        <v>11708000</v>
      </c>
      <c r="G391" s="50">
        <f t="shared" si="303"/>
        <v>15676100</v>
      </c>
      <c r="H391" s="50">
        <f t="shared" si="303"/>
        <v>15676100</v>
      </c>
      <c r="I391" s="50">
        <f t="shared" si="303"/>
        <v>0</v>
      </c>
      <c r="J391" s="50">
        <f t="shared" si="303"/>
        <v>0</v>
      </c>
      <c r="K391" s="50">
        <f t="shared" si="303"/>
        <v>0</v>
      </c>
      <c r="L391" s="303">
        <f t="shared" si="303"/>
        <v>0</v>
      </c>
      <c r="M391" s="50">
        <f t="shared" si="303"/>
        <v>0</v>
      </c>
      <c r="N391" s="50">
        <f t="shared" si="303"/>
        <v>0</v>
      </c>
      <c r="O391" s="50">
        <f t="shared" si="303"/>
        <v>0</v>
      </c>
      <c r="P391" s="50">
        <f t="shared" si="303"/>
        <v>0</v>
      </c>
      <c r="Q391" s="50">
        <f t="shared" si="303"/>
        <v>0</v>
      </c>
      <c r="R391" s="54"/>
      <c r="S391" s="30"/>
      <c r="T391" s="155">
        <f>G391-SUM(D391:F391)</f>
        <v>0</v>
      </c>
      <c r="U391" s="155">
        <f>G391-H391-I391</f>
        <v>0</v>
      </c>
      <c r="V391" s="155">
        <f>I391-J391-K391</f>
        <v>0</v>
      </c>
    </row>
    <row r="392" spans="1:22" ht="16.5" x14ac:dyDescent="0.25">
      <c r="A392" s="55">
        <v>1</v>
      </c>
      <c r="B392" s="15" t="s">
        <v>615</v>
      </c>
      <c r="C392" s="15"/>
      <c r="D392" s="16">
        <f t="shared" ref="D392:Q392" si="304">SUM(D393:D401)</f>
        <v>0</v>
      </c>
      <c r="E392" s="16">
        <f t="shared" si="304"/>
        <v>2645600</v>
      </c>
      <c r="F392" s="16">
        <f t="shared" si="304"/>
        <v>10801000</v>
      </c>
      <c r="G392" s="16">
        <f t="shared" si="304"/>
        <v>13446600</v>
      </c>
      <c r="H392" s="16">
        <f t="shared" si="304"/>
        <v>13446600</v>
      </c>
      <c r="I392" s="16">
        <f t="shared" si="304"/>
        <v>0</v>
      </c>
      <c r="J392" s="16">
        <f t="shared" si="304"/>
        <v>0</v>
      </c>
      <c r="K392" s="16">
        <f t="shared" si="304"/>
        <v>0</v>
      </c>
      <c r="L392" s="299">
        <f t="shared" si="304"/>
        <v>0</v>
      </c>
      <c r="M392" s="299">
        <f t="shared" si="304"/>
        <v>0</v>
      </c>
      <c r="N392" s="299">
        <f t="shared" si="304"/>
        <v>0</v>
      </c>
      <c r="O392" s="299">
        <f t="shared" si="304"/>
        <v>0</v>
      </c>
      <c r="P392" s="299">
        <f t="shared" si="304"/>
        <v>0</v>
      </c>
      <c r="Q392" s="299">
        <f t="shared" si="304"/>
        <v>0</v>
      </c>
      <c r="R392" s="17"/>
      <c r="S392" s="131">
        <f>SUM(S393:S396)</f>
        <v>7446600</v>
      </c>
      <c r="T392" s="155">
        <f>G392-SUM(D392:F392)</f>
        <v>0</v>
      </c>
      <c r="U392" s="155">
        <f>G392-H392-I392</f>
        <v>0</v>
      </c>
      <c r="V392" s="155">
        <f>I392-J392-K392</f>
        <v>0</v>
      </c>
    </row>
    <row r="393" spans="1:22" s="2" customFormat="1" ht="31.5" x14ac:dyDescent="0.25">
      <c r="A393" s="61"/>
      <c r="B393" s="25" t="s">
        <v>584</v>
      </c>
      <c r="C393" s="88" t="s">
        <v>255</v>
      </c>
      <c r="D393" s="27"/>
      <c r="E393" s="27">
        <v>400600</v>
      </c>
      <c r="F393" s="27"/>
      <c r="G393" s="27">
        <f>SUM(D393:F393)</f>
        <v>400600</v>
      </c>
      <c r="H393" s="27">
        <f>G393</f>
        <v>400600</v>
      </c>
      <c r="I393" s="27">
        <f>G393-H393</f>
        <v>0</v>
      </c>
      <c r="J393" s="27">
        <f t="shared" ref="J393:J409" si="305">I393-K393</f>
        <v>0</v>
      </c>
      <c r="K393" s="27"/>
      <c r="L393" s="300"/>
      <c r="M393" s="204"/>
      <c r="N393" s="204"/>
      <c r="O393" s="204"/>
      <c r="P393" s="204"/>
      <c r="Q393" s="204"/>
      <c r="R393" s="142" t="s">
        <v>255</v>
      </c>
      <c r="S393" s="128">
        <v>117000</v>
      </c>
    </row>
    <row r="394" spans="1:22" s="2" customFormat="1" ht="31.5" x14ac:dyDescent="0.25">
      <c r="A394" s="61"/>
      <c r="B394" s="25" t="s">
        <v>585</v>
      </c>
      <c r="C394" s="88" t="s">
        <v>255</v>
      </c>
      <c r="D394" s="27"/>
      <c r="E394" s="27">
        <v>395000</v>
      </c>
      <c r="F394" s="27"/>
      <c r="G394" s="27">
        <f>SUM(D394:F394)</f>
        <v>395000</v>
      </c>
      <c r="H394" s="27">
        <f t="shared" ref="H394:H401" si="306">G394</f>
        <v>395000</v>
      </c>
      <c r="I394" s="27">
        <f>G394-H394</f>
        <v>0</v>
      </c>
      <c r="J394" s="27">
        <f t="shared" si="305"/>
        <v>0</v>
      </c>
      <c r="K394" s="27"/>
      <c r="L394" s="300"/>
      <c r="M394" s="204"/>
      <c r="N394" s="204"/>
      <c r="O394" s="204"/>
      <c r="P394" s="204"/>
      <c r="Q394" s="204"/>
      <c r="R394" s="142" t="s">
        <v>720</v>
      </c>
      <c r="S394" s="128">
        <v>6308600</v>
      </c>
    </row>
    <row r="395" spans="1:22" s="2" customFormat="1" x14ac:dyDescent="0.25">
      <c r="A395" s="61"/>
      <c r="B395" s="25" t="s">
        <v>586</v>
      </c>
      <c r="C395" s="88" t="s">
        <v>255</v>
      </c>
      <c r="D395" s="27"/>
      <c r="E395" s="27">
        <v>350000</v>
      </c>
      <c r="F395" s="27"/>
      <c r="G395" s="27">
        <f>SUM(D395:F395)</f>
        <v>350000</v>
      </c>
      <c r="H395" s="27">
        <f t="shared" si="306"/>
        <v>350000</v>
      </c>
      <c r="I395" s="27">
        <f>G395-H395</f>
        <v>0</v>
      </c>
      <c r="J395" s="27">
        <f t="shared" si="305"/>
        <v>0</v>
      </c>
      <c r="K395" s="27"/>
      <c r="L395" s="300"/>
      <c r="M395" s="204"/>
      <c r="N395" s="204"/>
      <c r="O395" s="204"/>
      <c r="P395" s="204"/>
      <c r="Q395" s="204"/>
      <c r="R395" s="2">
        <v>281</v>
      </c>
      <c r="S395" s="128">
        <v>398000</v>
      </c>
    </row>
    <row r="396" spans="1:22" s="2" customFormat="1" ht="21.75" customHeight="1" x14ac:dyDescent="0.25">
      <c r="A396" s="61"/>
      <c r="B396" s="25" t="s">
        <v>587</v>
      </c>
      <c r="C396" s="88" t="s">
        <v>255</v>
      </c>
      <c r="D396" s="27"/>
      <c r="E396" s="27">
        <v>1500000</v>
      </c>
      <c r="F396" s="27"/>
      <c r="G396" s="27">
        <f>SUM(D396:F396)</f>
        <v>1500000</v>
      </c>
      <c r="H396" s="27">
        <f t="shared" si="306"/>
        <v>1500000</v>
      </c>
      <c r="I396" s="27">
        <f>G396-H396</f>
        <v>0</v>
      </c>
      <c r="J396" s="27">
        <f t="shared" si="305"/>
        <v>0</v>
      </c>
      <c r="K396" s="27"/>
      <c r="L396" s="300"/>
      <c r="M396" s="204"/>
      <c r="N396" s="204"/>
      <c r="O396" s="204"/>
      <c r="P396" s="204"/>
      <c r="Q396" s="204"/>
      <c r="R396" s="2">
        <v>278</v>
      </c>
      <c r="S396" s="128">
        <v>623000</v>
      </c>
    </row>
    <row r="397" spans="1:22" s="2" customFormat="1" ht="21.75" customHeight="1" x14ac:dyDescent="0.25">
      <c r="A397" s="61"/>
      <c r="B397" s="25" t="s">
        <v>616</v>
      </c>
      <c r="C397" s="88" t="s">
        <v>176</v>
      </c>
      <c r="D397" s="27"/>
      <c r="E397" s="27"/>
      <c r="F397" s="27">
        <v>6000000</v>
      </c>
      <c r="G397" s="27">
        <f>SUM(D397:F397)</f>
        <v>6000000</v>
      </c>
      <c r="H397" s="27">
        <f t="shared" si="306"/>
        <v>6000000</v>
      </c>
      <c r="I397" s="27">
        <f>G397-H397</f>
        <v>0</v>
      </c>
      <c r="J397" s="27">
        <f t="shared" ref="J397" si="307">I397-K397</f>
        <v>0</v>
      </c>
      <c r="K397" s="27"/>
      <c r="L397" s="300"/>
      <c r="M397" s="204"/>
      <c r="N397" s="204"/>
      <c r="O397" s="204"/>
      <c r="P397" s="204"/>
      <c r="Q397" s="204"/>
      <c r="S397" s="128"/>
    </row>
    <row r="398" spans="1:22" s="2" customFormat="1" ht="47.25" x14ac:dyDescent="0.25">
      <c r="A398" s="61"/>
      <c r="B398" s="25" t="s">
        <v>636</v>
      </c>
      <c r="C398" s="88">
        <v>281</v>
      </c>
      <c r="D398" s="27"/>
      <c r="E398" s="27"/>
      <c r="F398" s="27">
        <v>398000</v>
      </c>
      <c r="G398" s="27">
        <f t="shared" ref="G398" si="308">SUM(D398:F398)</f>
        <v>398000</v>
      </c>
      <c r="H398" s="27">
        <f t="shared" si="306"/>
        <v>398000</v>
      </c>
      <c r="I398" s="27">
        <f t="shared" ref="I398" si="309">G398-H398</f>
        <v>0</v>
      </c>
      <c r="J398" s="27">
        <f t="shared" ref="J398" si="310">I398-K398</f>
        <v>0</v>
      </c>
      <c r="K398" s="27"/>
      <c r="L398" s="300"/>
      <c r="M398" s="204"/>
      <c r="N398" s="204"/>
      <c r="O398" s="204"/>
      <c r="P398" s="204"/>
      <c r="Q398" s="204"/>
      <c r="S398" s="128"/>
    </row>
    <row r="399" spans="1:22" s="2" customFormat="1" ht="31.5" x14ac:dyDescent="0.25">
      <c r="A399" s="61"/>
      <c r="B399" s="25" t="s">
        <v>662</v>
      </c>
      <c r="C399" s="88">
        <v>278</v>
      </c>
      <c r="D399" s="27"/>
      <c r="E399" s="27"/>
      <c r="F399" s="27">
        <v>623000</v>
      </c>
      <c r="G399" s="27">
        <f t="shared" ref="G399:G400" si="311">SUM(D399:F399)</f>
        <v>623000</v>
      </c>
      <c r="H399" s="27">
        <f t="shared" si="306"/>
        <v>623000</v>
      </c>
      <c r="I399" s="27">
        <f t="shared" ref="I399:I400" si="312">G399-H399</f>
        <v>0</v>
      </c>
      <c r="J399" s="27">
        <f t="shared" ref="J399:J400" si="313">I399-K399</f>
        <v>0</v>
      </c>
      <c r="K399" s="27"/>
      <c r="L399" s="300"/>
      <c r="M399" s="204"/>
      <c r="N399" s="204"/>
      <c r="O399" s="204"/>
      <c r="P399" s="204"/>
      <c r="Q399" s="204"/>
      <c r="S399" s="128"/>
    </row>
    <row r="400" spans="1:22" s="2" customFormat="1" x14ac:dyDescent="0.25">
      <c r="A400" s="61"/>
      <c r="B400" s="25" t="s">
        <v>682</v>
      </c>
      <c r="C400" s="88" t="s">
        <v>255</v>
      </c>
      <c r="D400" s="27"/>
      <c r="E400" s="27"/>
      <c r="F400" s="27">
        <v>3663000</v>
      </c>
      <c r="G400" s="27">
        <f t="shared" si="311"/>
        <v>3663000</v>
      </c>
      <c r="H400" s="27">
        <f t="shared" si="306"/>
        <v>3663000</v>
      </c>
      <c r="I400" s="27">
        <f t="shared" si="312"/>
        <v>0</v>
      </c>
      <c r="J400" s="27">
        <f t="shared" si="313"/>
        <v>0</v>
      </c>
      <c r="K400" s="27"/>
      <c r="L400" s="300" t="s">
        <v>707</v>
      </c>
      <c r="M400" s="204"/>
      <c r="N400" s="204"/>
      <c r="O400" s="204"/>
      <c r="P400" s="204"/>
      <c r="Q400" s="204"/>
      <c r="S400" s="128"/>
    </row>
    <row r="401" spans="1:22" s="2" customFormat="1" ht="31.5" x14ac:dyDescent="0.25">
      <c r="A401" s="61"/>
      <c r="B401" s="25" t="s">
        <v>698</v>
      </c>
      <c r="C401" s="88" t="s">
        <v>255</v>
      </c>
      <c r="D401" s="27"/>
      <c r="E401" s="27"/>
      <c r="F401" s="27">
        <v>117000</v>
      </c>
      <c r="G401" s="27">
        <f t="shared" ref="G401" si="314">SUM(D401:F401)</f>
        <v>117000</v>
      </c>
      <c r="H401" s="27">
        <f t="shared" si="306"/>
        <v>117000</v>
      </c>
      <c r="I401" s="27">
        <f t="shared" ref="I401" si="315">G401-H401</f>
        <v>0</v>
      </c>
      <c r="J401" s="27">
        <f t="shared" ref="J401" si="316">I401-K401</f>
        <v>0</v>
      </c>
      <c r="K401" s="27"/>
      <c r="L401" s="300" t="s">
        <v>694</v>
      </c>
      <c r="M401" s="204"/>
      <c r="N401" s="204"/>
      <c r="O401" s="204"/>
      <c r="P401" s="204"/>
      <c r="Q401" s="204"/>
      <c r="S401" s="128"/>
    </row>
    <row r="402" spans="1:22" ht="16.5" x14ac:dyDescent="0.25">
      <c r="A402" s="55">
        <v>2</v>
      </c>
      <c r="B402" s="15" t="s">
        <v>154</v>
      </c>
      <c r="C402" s="15"/>
      <c r="D402" s="16">
        <f t="shared" ref="D402:Q402" si="317">SUM(D403:D412)</f>
        <v>0</v>
      </c>
      <c r="E402" s="16">
        <f t="shared" si="317"/>
        <v>1322500</v>
      </c>
      <c r="F402" s="16">
        <f t="shared" si="317"/>
        <v>907000</v>
      </c>
      <c r="G402" s="16">
        <f t="shared" si="317"/>
        <v>2229500</v>
      </c>
      <c r="H402" s="16">
        <f t="shared" si="317"/>
        <v>2229500</v>
      </c>
      <c r="I402" s="16">
        <f t="shared" si="317"/>
        <v>0</v>
      </c>
      <c r="J402" s="16">
        <f t="shared" si="317"/>
        <v>0</v>
      </c>
      <c r="K402" s="16">
        <f t="shared" si="317"/>
        <v>0</v>
      </c>
      <c r="L402" s="299">
        <f t="shared" si="317"/>
        <v>0</v>
      </c>
      <c r="M402" s="299">
        <f t="shared" si="317"/>
        <v>0</v>
      </c>
      <c r="N402" s="299">
        <f t="shared" si="317"/>
        <v>0</v>
      </c>
      <c r="O402" s="299">
        <f t="shared" si="317"/>
        <v>0</v>
      </c>
      <c r="P402" s="299">
        <f t="shared" si="317"/>
        <v>0</v>
      </c>
      <c r="Q402" s="299">
        <f t="shared" si="317"/>
        <v>0</v>
      </c>
      <c r="R402" s="17"/>
      <c r="S402" s="131">
        <f>SUM(S403:S405)</f>
        <v>1860365.6070000001</v>
      </c>
      <c r="T402" s="155">
        <f>G402-SUM(D402:F402)</f>
        <v>0</v>
      </c>
      <c r="U402" s="155">
        <f>G402-H402-I402</f>
        <v>0</v>
      </c>
      <c r="V402" s="155">
        <f>I402-J402-K402</f>
        <v>0</v>
      </c>
    </row>
    <row r="403" spans="1:22" s="22" customFormat="1" x14ac:dyDescent="0.25">
      <c r="A403" s="61"/>
      <c r="B403" s="32" t="s">
        <v>155</v>
      </c>
      <c r="C403" s="110" t="s">
        <v>258</v>
      </c>
      <c r="D403" s="27"/>
      <c r="E403" s="27">
        <v>25000</v>
      </c>
      <c r="F403" s="27"/>
      <c r="G403" s="27">
        <f>SUM(D403:F403)</f>
        <v>25000</v>
      </c>
      <c r="H403" s="27">
        <f>G403</f>
        <v>25000</v>
      </c>
      <c r="I403" s="27">
        <f>G403-H403</f>
        <v>0</v>
      </c>
      <c r="J403" s="27">
        <f t="shared" si="305"/>
        <v>0</v>
      </c>
      <c r="K403" s="27"/>
      <c r="L403" s="300"/>
      <c r="M403" s="204"/>
      <c r="N403" s="204"/>
      <c r="O403" s="204"/>
      <c r="P403" s="204"/>
      <c r="Q403" s="204"/>
      <c r="R403" s="142" t="s">
        <v>258</v>
      </c>
      <c r="S403" s="128">
        <v>1182070.6070000001</v>
      </c>
    </row>
    <row r="404" spans="1:22" s="22" customFormat="1" x14ac:dyDescent="0.25">
      <c r="A404" s="61"/>
      <c r="B404" s="32" t="s">
        <v>156</v>
      </c>
      <c r="C404" s="110" t="s">
        <v>258</v>
      </c>
      <c r="D404" s="27"/>
      <c r="E404" s="27">
        <v>30000</v>
      </c>
      <c r="F404" s="27"/>
      <c r="G404" s="27">
        <f t="shared" ref="G404:G407" si="318">SUM(D404:F404)</f>
        <v>30000</v>
      </c>
      <c r="H404" s="27">
        <f t="shared" ref="H404:H412" si="319">G404</f>
        <v>30000</v>
      </c>
      <c r="I404" s="27">
        <f t="shared" ref="I404:I407" si="320">G404-H404</f>
        <v>0</v>
      </c>
      <c r="J404" s="27">
        <f t="shared" si="305"/>
        <v>0</v>
      </c>
      <c r="K404" s="27"/>
      <c r="L404" s="300"/>
      <c r="M404" s="204"/>
      <c r="N404" s="204"/>
      <c r="O404" s="204"/>
      <c r="P404" s="204"/>
      <c r="Q404" s="204"/>
      <c r="R404" s="142" t="s">
        <v>305</v>
      </c>
      <c r="S404" s="128">
        <v>678295</v>
      </c>
    </row>
    <row r="405" spans="1:22" ht="47.25" x14ac:dyDescent="0.25">
      <c r="A405" s="61"/>
      <c r="B405" s="25" t="s">
        <v>588</v>
      </c>
      <c r="C405" s="110" t="s">
        <v>258</v>
      </c>
      <c r="D405" s="27"/>
      <c r="E405" s="27">
        <v>15000</v>
      </c>
      <c r="F405" s="27"/>
      <c r="G405" s="27">
        <f t="shared" si="318"/>
        <v>15000</v>
      </c>
      <c r="H405" s="27">
        <f t="shared" si="319"/>
        <v>15000</v>
      </c>
      <c r="I405" s="27">
        <f t="shared" si="320"/>
        <v>0</v>
      </c>
      <c r="J405" s="27">
        <f t="shared" si="305"/>
        <v>0</v>
      </c>
      <c r="K405" s="27"/>
      <c r="L405" s="300"/>
      <c r="M405" s="204"/>
      <c r="N405" s="204"/>
      <c r="O405" s="204"/>
      <c r="P405" s="204"/>
      <c r="Q405" s="204"/>
      <c r="R405" s="2">
        <v>281</v>
      </c>
      <c r="S405" s="128">
        <v>0</v>
      </c>
    </row>
    <row r="406" spans="1:22" s="22" customFormat="1" ht="31.5" x14ac:dyDescent="0.25">
      <c r="A406" s="61"/>
      <c r="B406" s="25" t="s">
        <v>589</v>
      </c>
      <c r="C406" s="110" t="s">
        <v>258</v>
      </c>
      <c r="D406" s="27"/>
      <c r="E406" s="27">
        <v>19500</v>
      </c>
      <c r="F406" s="27"/>
      <c r="G406" s="27">
        <f t="shared" si="318"/>
        <v>19500</v>
      </c>
      <c r="H406" s="27">
        <f t="shared" si="319"/>
        <v>19500</v>
      </c>
      <c r="I406" s="27">
        <f t="shared" si="320"/>
        <v>0</v>
      </c>
      <c r="J406" s="27">
        <f t="shared" si="305"/>
        <v>0</v>
      </c>
      <c r="K406" s="27"/>
      <c r="L406" s="300"/>
      <c r="M406" s="204"/>
      <c r="N406" s="204"/>
      <c r="O406" s="204"/>
      <c r="P406" s="204"/>
      <c r="Q406" s="204"/>
      <c r="S406" s="30"/>
    </row>
    <row r="407" spans="1:22" s="22" customFormat="1" x14ac:dyDescent="0.25">
      <c r="A407" s="108"/>
      <c r="B407" s="25" t="s">
        <v>587</v>
      </c>
      <c r="C407" s="110" t="s">
        <v>258</v>
      </c>
      <c r="D407" s="107"/>
      <c r="E407" s="27">
        <v>500000</v>
      </c>
      <c r="F407" s="107"/>
      <c r="G407" s="27">
        <f t="shared" si="318"/>
        <v>500000</v>
      </c>
      <c r="H407" s="27">
        <f t="shared" si="319"/>
        <v>500000</v>
      </c>
      <c r="I407" s="27">
        <f t="shared" si="320"/>
        <v>0</v>
      </c>
      <c r="J407" s="27">
        <f t="shared" si="305"/>
        <v>0</v>
      </c>
      <c r="K407" s="107"/>
      <c r="L407" s="300">
        <f>K407</f>
        <v>0</v>
      </c>
      <c r="M407" s="204"/>
      <c r="N407" s="204"/>
      <c r="O407" s="204"/>
      <c r="P407" s="204"/>
      <c r="Q407" s="204"/>
      <c r="S407" s="30"/>
    </row>
    <row r="408" spans="1:22" s="22" customFormat="1" x14ac:dyDescent="0.25">
      <c r="A408" s="108"/>
      <c r="B408" s="25" t="s">
        <v>590</v>
      </c>
      <c r="C408" s="110" t="s">
        <v>258</v>
      </c>
      <c r="D408" s="107"/>
      <c r="E408" s="27">
        <v>631000</v>
      </c>
      <c r="F408" s="107"/>
      <c r="G408" s="27">
        <f t="shared" ref="G408" si="321">SUM(D408:F408)</f>
        <v>631000</v>
      </c>
      <c r="H408" s="27">
        <f t="shared" si="319"/>
        <v>631000</v>
      </c>
      <c r="I408" s="27">
        <f t="shared" ref="I408:I409" si="322">G408-H408</f>
        <v>0</v>
      </c>
      <c r="J408" s="27">
        <f t="shared" si="305"/>
        <v>0</v>
      </c>
      <c r="K408" s="107"/>
      <c r="L408" s="300"/>
      <c r="M408" s="204"/>
      <c r="N408" s="204"/>
      <c r="O408" s="204"/>
      <c r="P408" s="204"/>
      <c r="Q408" s="204"/>
      <c r="S408" s="30"/>
    </row>
    <row r="409" spans="1:22" s="22" customFormat="1" ht="47.25" x14ac:dyDescent="0.25">
      <c r="A409" s="45"/>
      <c r="B409" s="25" t="s">
        <v>591</v>
      </c>
      <c r="C409" s="110" t="s">
        <v>258</v>
      </c>
      <c r="D409" s="27"/>
      <c r="E409" s="27">
        <v>102000</v>
      </c>
      <c r="F409" s="27"/>
      <c r="G409" s="27">
        <f t="shared" ref="G409" si="323">SUM(D409:F409)</f>
        <v>102000</v>
      </c>
      <c r="H409" s="27">
        <f t="shared" si="319"/>
        <v>102000</v>
      </c>
      <c r="I409" s="285">
        <f t="shared" si="322"/>
        <v>0</v>
      </c>
      <c r="J409" s="27">
        <f t="shared" si="305"/>
        <v>0</v>
      </c>
      <c r="K409" s="27"/>
      <c r="L409" s="300"/>
      <c r="M409" s="204"/>
      <c r="N409" s="204"/>
      <c r="O409" s="204"/>
      <c r="P409" s="204"/>
      <c r="Q409" s="204"/>
      <c r="S409" s="30"/>
    </row>
    <row r="410" spans="1:22" s="22" customFormat="1" ht="31.5" x14ac:dyDescent="0.25">
      <c r="A410" s="45"/>
      <c r="B410" s="25" t="s">
        <v>635</v>
      </c>
      <c r="C410" s="110">
        <v>281</v>
      </c>
      <c r="D410" s="27"/>
      <c r="E410" s="27"/>
      <c r="F410" s="27">
        <v>123000</v>
      </c>
      <c r="G410" s="27">
        <f t="shared" ref="G410" si="324">SUM(D410:F410)</f>
        <v>123000</v>
      </c>
      <c r="H410" s="27">
        <f t="shared" si="319"/>
        <v>123000</v>
      </c>
      <c r="I410" s="285">
        <f t="shared" ref="I410" si="325">G410-H410</f>
        <v>0</v>
      </c>
      <c r="J410" s="27">
        <f t="shared" ref="J410" si="326">I410-K410</f>
        <v>0</v>
      </c>
      <c r="K410" s="27"/>
      <c r="L410" s="300"/>
      <c r="M410" s="204"/>
      <c r="N410" s="204"/>
      <c r="O410" s="204"/>
      <c r="P410" s="204"/>
      <c r="Q410" s="204"/>
      <c r="S410" s="30"/>
    </row>
    <row r="411" spans="1:22" s="22" customFormat="1" ht="22.5" customHeight="1" x14ac:dyDescent="0.25">
      <c r="A411" s="45"/>
      <c r="B411" s="25" t="s">
        <v>682</v>
      </c>
      <c r="C411" s="88" t="s">
        <v>258</v>
      </c>
      <c r="D411" s="27"/>
      <c r="E411" s="27"/>
      <c r="F411" s="27">
        <v>591000</v>
      </c>
      <c r="G411" s="27">
        <f t="shared" ref="G411" si="327">SUM(D411:F411)</f>
        <v>591000</v>
      </c>
      <c r="H411" s="27">
        <f t="shared" si="319"/>
        <v>591000</v>
      </c>
      <c r="I411" s="285">
        <f t="shared" ref="I411" si="328">G411-H411</f>
        <v>0</v>
      </c>
      <c r="J411" s="27">
        <f t="shared" ref="J411" si="329">I411-K411</f>
        <v>0</v>
      </c>
      <c r="K411" s="27"/>
      <c r="L411" s="300" t="s">
        <v>707</v>
      </c>
      <c r="M411" s="204"/>
      <c r="N411" s="204"/>
      <c r="O411" s="204"/>
      <c r="P411" s="204"/>
      <c r="Q411" s="204"/>
      <c r="S411" s="30"/>
    </row>
    <row r="412" spans="1:22" s="22" customFormat="1" ht="47.25" x14ac:dyDescent="0.25">
      <c r="A412" s="45"/>
      <c r="B412" s="25" t="s">
        <v>688</v>
      </c>
      <c r="C412" s="88" t="s">
        <v>258</v>
      </c>
      <c r="D412" s="27"/>
      <c r="E412" s="27"/>
      <c r="F412" s="27">
        <v>193000</v>
      </c>
      <c r="G412" s="27">
        <f t="shared" ref="G412" si="330">SUM(D412:F412)</f>
        <v>193000</v>
      </c>
      <c r="H412" s="27">
        <f t="shared" si="319"/>
        <v>193000</v>
      </c>
      <c r="I412" s="285">
        <f t="shared" ref="I412" si="331">G412-H412</f>
        <v>0</v>
      </c>
      <c r="J412" s="27">
        <f t="shared" ref="J412" si="332">I412-K412</f>
        <v>0</v>
      </c>
      <c r="K412" s="27"/>
      <c r="L412" s="300" t="s">
        <v>692</v>
      </c>
      <c r="M412" s="204"/>
      <c r="N412" s="204"/>
      <c r="O412" s="204"/>
      <c r="P412" s="204"/>
      <c r="Q412" s="204"/>
      <c r="S412" s="30"/>
    </row>
    <row r="413" spans="1:22" ht="16.5" x14ac:dyDescent="0.25">
      <c r="A413" s="72" t="s">
        <v>228</v>
      </c>
      <c r="B413" s="73" t="s">
        <v>230</v>
      </c>
      <c r="C413" s="73"/>
      <c r="D413" s="50">
        <f>D414+D416+D418+D421</f>
        <v>0</v>
      </c>
      <c r="E413" s="50">
        <f t="shared" ref="E413:Q413" si="333">E414+E416+E418+E421</f>
        <v>105400</v>
      </c>
      <c r="F413" s="50">
        <f t="shared" si="333"/>
        <v>287000</v>
      </c>
      <c r="G413" s="50">
        <f t="shared" si="333"/>
        <v>392400</v>
      </c>
      <c r="H413" s="50">
        <f t="shared" si="333"/>
        <v>323922</v>
      </c>
      <c r="I413" s="50">
        <f t="shared" si="333"/>
        <v>68478</v>
      </c>
      <c r="J413" s="50">
        <f t="shared" si="333"/>
        <v>68478</v>
      </c>
      <c r="K413" s="50">
        <f t="shared" si="333"/>
        <v>0</v>
      </c>
      <c r="L413" s="50">
        <f t="shared" si="333"/>
        <v>0</v>
      </c>
      <c r="M413" s="50">
        <f t="shared" si="333"/>
        <v>0</v>
      </c>
      <c r="N413" s="50">
        <f t="shared" si="333"/>
        <v>0</v>
      </c>
      <c r="O413" s="50">
        <f t="shared" si="333"/>
        <v>0</v>
      </c>
      <c r="P413" s="50">
        <f t="shared" si="333"/>
        <v>0</v>
      </c>
      <c r="Q413" s="50">
        <f t="shared" si="333"/>
        <v>0</v>
      </c>
      <c r="R413" s="17">
        <f>E413-'[2]CHI CẤP HUYỆN'!K112</f>
        <v>105400</v>
      </c>
      <c r="T413" s="155">
        <f>G413-SUM(D413:F413)</f>
        <v>0</v>
      </c>
      <c r="U413" s="155">
        <f>G413-H413-I413</f>
        <v>0</v>
      </c>
      <c r="V413" s="155">
        <f>I413-J413-K413</f>
        <v>0</v>
      </c>
    </row>
    <row r="414" spans="1:22" ht="16.5" x14ac:dyDescent="0.25">
      <c r="A414" s="55">
        <v>1</v>
      </c>
      <c r="B414" s="56" t="s">
        <v>592</v>
      </c>
      <c r="C414" s="56"/>
      <c r="D414" s="16">
        <f t="shared" ref="D414:K414" si="334">SUM(D415:D415)</f>
        <v>0</v>
      </c>
      <c r="E414" s="16">
        <f t="shared" si="334"/>
        <v>47400</v>
      </c>
      <c r="F414" s="16">
        <f t="shared" si="334"/>
        <v>0</v>
      </c>
      <c r="G414" s="318">
        <f t="shared" si="334"/>
        <v>47400</v>
      </c>
      <c r="H414" s="318">
        <f t="shared" si="334"/>
        <v>0</v>
      </c>
      <c r="I414" s="318">
        <f t="shared" si="334"/>
        <v>47400</v>
      </c>
      <c r="J414" s="318">
        <f t="shared" si="334"/>
        <v>47400</v>
      </c>
      <c r="K414" s="318">
        <f t="shared" si="334"/>
        <v>0</v>
      </c>
      <c r="L414" s="304"/>
      <c r="M414" s="203"/>
      <c r="N414" s="203"/>
      <c r="O414" s="203"/>
      <c r="P414" s="203"/>
      <c r="Q414" s="203"/>
      <c r="R414" s="17"/>
      <c r="T414" s="155">
        <f>G414-SUM(D414:F414)</f>
        <v>0</v>
      </c>
      <c r="U414" s="155">
        <f>G414-H414-I414</f>
        <v>0</v>
      </c>
      <c r="V414" s="155">
        <f>I414-J414-K414</f>
        <v>0</v>
      </c>
    </row>
    <row r="415" spans="1:22" s="2" customFormat="1" ht="31.5" x14ac:dyDescent="0.25">
      <c r="A415" s="61"/>
      <c r="B415" s="109" t="s">
        <v>593</v>
      </c>
      <c r="C415" s="63">
        <v>428</v>
      </c>
      <c r="D415" s="27"/>
      <c r="E415" s="27">
        <v>47400</v>
      </c>
      <c r="F415" s="27"/>
      <c r="G415" s="27">
        <f>SUM(D415:F415)</f>
        <v>47400</v>
      </c>
      <c r="H415" s="27"/>
      <c r="I415" s="27">
        <f>G415-H415</f>
        <v>47400</v>
      </c>
      <c r="J415" s="27">
        <f t="shared" ref="J415:J422" si="335">I415-K415</f>
        <v>47400</v>
      </c>
      <c r="K415" s="27"/>
      <c r="L415" s="300"/>
      <c r="M415" s="204"/>
      <c r="N415" s="204"/>
      <c r="O415" s="204"/>
      <c r="P415" s="204"/>
      <c r="Q415" s="204"/>
      <c r="S415" s="128"/>
    </row>
    <row r="416" spans="1:22" ht="16.5" x14ac:dyDescent="0.25">
      <c r="A416" s="55">
        <v>2</v>
      </c>
      <c r="B416" s="56" t="s">
        <v>243</v>
      </c>
      <c r="C416" s="56"/>
      <c r="D416" s="16">
        <f t="shared" ref="D416:K416" si="336">SUM(D417:D417)</f>
        <v>0</v>
      </c>
      <c r="E416" s="16">
        <f t="shared" si="336"/>
        <v>29000</v>
      </c>
      <c r="F416" s="16">
        <f t="shared" si="336"/>
        <v>0</v>
      </c>
      <c r="G416" s="318">
        <f t="shared" si="336"/>
        <v>29000</v>
      </c>
      <c r="H416" s="318">
        <f t="shared" si="336"/>
        <v>24162</v>
      </c>
      <c r="I416" s="318">
        <f t="shared" si="336"/>
        <v>4838</v>
      </c>
      <c r="J416" s="318">
        <f t="shared" si="336"/>
        <v>4838</v>
      </c>
      <c r="K416" s="318">
        <f t="shared" si="336"/>
        <v>0</v>
      </c>
      <c r="L416" s="304"/>
      <c r="M416" s="203"/>
      <c r="N416" s="203"/>
      <c r="O416" s="203"/>
      <c r="P416" s="203"/>
      <c r="Q416" s="203"/>
      <c r="R416" s="17"/>
      <c r="T416" s="155">
        <f>G416-SUM(D416:F416)</f>
        <v>0</v>
      </c>
      <c r="U416" s="155">
        <f>G416-H416-I416</f>
        <v>0</v>
      </c>
      <c r="V416" s="155">
        <f>I416-J416-K416</f>
        <v>0</v>
      </c>
    </row>
    <row r="417" spans="1:22" s="2" customFormat="1" ht="31.5" x14ac:dyDescent="0.25">
      <c r="A417" s="61"/>
      <c r="B417" s="109" t="s">
        <v>594</v>
      </c>
      <c r="C417" s="63">
        <v>428</v>
      </c>
      <c r="D417" s="27"/>
      <c r="E417" s="107">
        <v>29000</v>
      </c>
      <c r="F417" s="27"/>
      <c r="G417" s="27">
        <f>SUM(D417:F417)</f>
        <v>29000</v>
      </c>
      <c r="H417" s="27">
        <v>24162</v>
      </c>
      <c r="I417" s="27">
        <f>G417-H417</f>
        <v>4838</v>
      </c>
      <c r="J417" s="27">
        <f t="shared" si="335"/>
        <v>4838</v>
      </c>
      <c r="K417" s="27"/>
      <c r="L417" s="300"/>
      <c r="M417" s="204"/>
      <c r="N417" s="204"/>
      <c r="O417" s="204"/>
      <c r="P417" s="204"/>
      <c r="Q417" s="204"/>
      <c r="S417" s="128"/>
    </row>
    <row r="418" spans="1:22" ht="16.5" x14ac:dyDescent="0.25">
      <c r="A418" s="55">
        <v>3</v>
      </c>
      <c r="B418" s="56" t="s">
        <v>244</v>
      </c>
      <c r="C418" s="56"/>
      <c r="D418" s="16">
        <f t="shared" ref="D418:K418" si="337">SUM(D419:D420)</f>
        <v>0</v>
      </c>
      <c r="E418" s="16">
        <f t="shared" si="337"/>
        <v>29000</v>
      </c>
      <c r="F418" s="16">
        <f t="shared" si="337"/>
        <v>27000</v>
      </c>
      <c r="G418" s="318">
        <f t="shared" si="337"/>
        <v>56000</v>
      </c>
      <c r="H418" s="318">
        <f t="shared" si="337"/>
        <v>39760</v>
      </c>
      <c r="I418" s="318">
        <f t="shared" si="337"/>
        <v>16240</v>
      </c>
      <c r="J418" s="318">
        <f t="shared" si="337"/>
        <v>16240</v>
      </c>
      <c r="K418" s="318">
        <f t="shared" si="337"/>
        <v>0</v>
      </c>
      <c r="L418" s="304"/>
      <c r="M418" s="203"/>
      <c r="N418" s="203"/>
      <c r="O418" s="203"/>
      <c r="P418" s="203"/>
      <c r="Q418" s="203"/>
      <c r="R418" s="17"/>
      <c r="T418" s="155">
        <f>G418-SUM(D418:F418)</f>
        <v>0</v>
      </c>
      <c r="U418" s="155">
        <f>G418-H418-I418</f>
        <v>0</v>
      </c>
      <c r="V418" s="155">
        <f>I418-J418-K418</f>
        <v>0</v>
      </c>
    </row>
    <row r="419" spans="1:22" s="2" customFormat="1" x14ac:dyDescent="0.25">
      <c r="A419" s="61"/>
      <c r="B419" s="109" t="s">
        <v>671</v>
      </c>
      <c r="C419" s="63">
        <v>428</v>
      </c>
      <c r="D419" s="27"/>
      <c r="E419" s="107">
        <v>29000</v>
      </c>
      <c r="F419" s="27"/>
      <c r="G419" s="27">
        <f>SUM(D419:F419)</f>
        <v>29000</v>
      </c>
      <c r="H419" s="27">
        <f>39760-H420</f>
        <v>12760</v>
      </c>
      <c r="I419" s="27">
        <f>G419-H419</f>
        <v>16240</v>
      </c>
      <c r="J419" s="27">
        <f t="shared" si="335"/>
        <v>16240</v>
      </c>
      <c r="K419" s="27"/>
      <c r="L419" s="300"/>
      <c r="M419" s="204"/>
      <c r="N419" s="204"/>
      <c r="O419" s="204"/>
      <c r="P419" s="204"/>
      <c r="Q419" s="204"/>
      <c r="S419" s="128"/>
    </row>
    <row r="420" spans="1:22" s="2" customFormat="1" ht="31.5" x14ac:dyDescent="0.25">
      <c r="A420" s="61"/>
      <c r="B420" s="109" t="s">
        <v>670</v>
      </c>
      <c r="C420" s="63">
        <v>428</v>
      </c>
      <c r="D420" s="27"/>
      <c r="E420" s="107"/>
      <c r="F420" s="27">
        <v>27000</v>
      </c>
      <c r="G420" s="27">
        <f>SUM(D420:F420)</f>
        <v>27000</v>
      </c>
      <c r="H420" s="27">
        <f>G420</f>
        <v>27000</v>
      </c>
      <c r="I420" s="27">
        <f>G420-H420</f>
        <v>0</v>
      </c>
      <c r="J420" s="27">
        <f t="shared" ref="J420" si="338">I420-K420</f>
        <v>0</v>
      </c>
      <c r="K420" s="27"/>
      <c r="L420" s="300"/>
      <c r="M420" s="204"/>
      <c r="N420" s="204"/>
      <c r="O420" s="204"/>
      <c r="P420" s="204"/>
      <c r="Q420" s="204"/>
      <c r="S420" s="128"/>
    </row>
    <row r="421" spans="1:22" ht="16.5" x14ac:dyDescent="0.25">
      <c r="A421" s="55">
        <v>4</v>
      </c>
      <c r="B421" s="56" t="s">
        <v>268</v>
      </c>
      <c r="C421" s="56"/>
      <c r="D421" s="16">
        <f t="shared" ref="D421:K421" si="339">SUM(D422:D423)</f>
        <v>0</v>
      </c>
      <c r="E421" s="16">
        <f t="shared" si="339"/>
        <v>0</v>
      </c>
      <c r="F421" s="16">
        <f t="shared" si="339"/>
        <v>260000</v>
      </c>
      <c r="G421" s="318">
        <f t="shared" si="339"/>
        <v>260000</v>
      </c>
      <c r="H421" s="318">
        <f t="shared" si="339"/>
        <v>260000</v>
      </c>
      <c r="I421" s="318">
        <f t="shared" si="339"/>
        <v>0</v>
      </c>
      <c r="J421" s="318">
        <f t="shared" si="339"/>
        <v>0</v>
      </c>
      <c r="K421" s="318">
        <f t="shared" si="339"/>
        <v>0</v>
      </c>
      <c r="L421" s="304"/>
      <c r="M421" s="203"/>
      <c r="N421" s="203"/>
      <c r="O421" s="203"/>
      <c r="P421" s="203"/>
      <c r="Q421" s="203"/>
      <c r="R421" s="17"/>
      <c r="T421" s="155">
        <f>G421-SUM(D421:F421)</f>
        <v>0</v>
      </c>
      <c r="U421" s="155">
        <f>G421-H421-I421</f>
        <v>0</v>
      </c>
      <c r="V421" s="155">
        <f>I421-J421-K421</f>
        <v>0</v>
      </c>
    </row>
    <row r="422" spans="1:22" s="2" customFormat="1" ht="31.5" x14ac:dyDescent="0.25">
      <c r="A422" s="61"/>
      <c r="B422" s="109" t="s">
        <v>653</v>
      </c>
      <c r="C422" s="63">
        <v>338</v>
      </c>
      <c r="D422" s="27"/>
      <c r="E422" s="107"/>
      <c r="F422" s="27">
        <v>260000</v>
      </c>
      <c r="G422" s="27">
        <f>SUM(D422:F422)</f>
        <v>260000</v>
      </c>
      <c r="H422" s="27">
        <f>G422</f>
        <v>260000</v>
      </c>
      <c r="I422" s="27">
        <f>G422-H422</f>
        <v>0</v>
      </c>
      <c r="J422" s="27">
        <f t="shared" si="335"/>
        <v>0</v>
      </c>
      <c r="K422" s="27"/>
      <c r="L422" s="300"/>
      <c r="M422" s="204"/>
      <c r="N422" s="204"/>
      <c r="O422" s="204"/>
      <c r="P422" s="204"/>
      <c r="Q422" s="204"/>
      <c r="S422" s="128"/>
    </row>
    <row r="423" spans="1:22" s="2" customFormat="1" ht="6" customHeight="1" x14ac:dyDescent="0.25">
      <c r="A423" s="94"/>
      <c r="B423" s="95"/>
      <c r="C423" s="95"/>
      <c r="D423" s="288"/>
      <c r="E423" s="288"/>
      <c r="F423" s="288"/>
      <c r="G423" s="96">
        <f t="shared" ref="G423" si="340">SUM(D423:F423)</f>
        <v>0</v>
      </c>
      <c r="H423" s="96"/>
      <c r="I423" s="96">
        <f t="shared" ref="I423" si="341">G423-H423</f>
        <v>0</v>
      </c>
      <c r="J423" s="96">
        <f>E423-D423</f>
        <v>0</v>
      </c>
      <c r="K423" s="96"/>
      <c r="L423" s="300"/>
      <c r="M423" s="204"/>
      <c r="N423" s="204"/>
      <c r="O423" s="204"/>
      <c r="P423" s="204"/>
      <c r="Q423" s="204"/>
      <c r="S423" s="128"/>
    </row>
    <row r="424" spans="1:22" ht="16.5" x14ac:dyDescent="0.25">
      <c r="A424" s="74"/>
      <c r="B424" s="9"/>
      <c r="C424" s="9"/>
    </row>
    <row r="425" spans="1:22" ht="16.5" x14ac:dyDescent="0.25">
      <c r="A425" s="74"/>
      <c r="B425" s="9"/>
      <c r="C425" s="9"/>
    </row>
    <row r="426" spans="1:22" ht="16.5" x14ac:dyDescent="0.25">
      <c r="A426" s="74"/>
      <c r="B426" s="9"/>
      <c r="C426" s="9"/>
    </row>
    <row r="427" spans="1:22" ht="16.5" x14ac:dyDescent="0.25">
      <c r="A427" s="74"/>
      <c r="B427" s="9"/>
      <c r="C427" s="9"/>
    </row>
    <row r="428" spans="1:22" ht="16.5" x14ac:dyDescent="0.25">
      <c r="A428" s="77"/>
      <c r="B428" s="354"/>
      <c r="C428" s="354"/>
      <c r="D428" s="355"/>
      <c r="E428" s="355"/>
      <c r="F428" s="355"/>
      <c r="G428" s="355"/>
      <c r="H428" s="355"/>
      <c r="I428" s="355"/>
      <c r="J428" s="355"/>
      <c r="K428" s="161"/>
      <c r="L428" s="309"/>
      <c r="M428" s="161"/>
      <c r="N428" s="161"/>
      <c r="O428" s="161"/>
      <c r="P428" s="161"/>
      <c r="Q428" s="161"/>
    </row>
    <row r="429" spans="1:22" ht="16.5" x14ac:dyDescent="0.25">
      <c r="A429" s="77"/>
      <c r="B429" s="78"/>
      <c r="C429" s="78"/>
    </row>
  </sheetData>
  <mergeCells count="14">
    <mergeCell ref="A6:A7"/>
    <mergeCell ref="B428:J428"/>
    <mergeCell ref="A3:J3"/>
    <mergeCell ref="A4:J4"/>
    <mergeCell ref="C6:C7"/>
    <mergeCell ref="I6:I7"/>
    <mergeCell ref="J6:K6"/>
    <mergeCell ref="B179:B180"/>
    <mergeCell ref="R6:R7"/>
    <mergeCell ref="B6:B7"/>
    <mergeCell ref="R212:S212"/>
    <mergeCell ref="D6:G6"/>
    <mergeCell ref="H6:H7"/>
    <mergeCell ref="B171:B173"/>
  </mergeCells>
  <pageMargins left="0.7" right="0.7" top="0.75" bottom="0.75" header="0.3" footer="0.3"/>
  <pageSetup orientation="portrait"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68"/>
  <sheetViews>
    <sheetView zoomScale="90" zoomScaleNormal="90" workbookViewId="0">
      <pane xSplit="2" ySplit="2" topLeftCell="C3" activePane="bottomRight" state="frozen"/>
      <selection pane="topRight" activeCell="C1" sqref="C1"/>
      <selection pane="bottomLeft" activeCell="A3" sqref="A3"/>
      <selection pane="bottomRight" activeCell="K4" sqref="K4"/>
    </sheetView>
  </sheetViews>
  <sheetFormatPr defaultRowHeight="15.75" x14ac:dyDescent="0.25"/>
  <cols>
    <col min="1" max="1" width="4.375" style="115" customWidth="1"/>
    <col min="2" max="2" width="32.375" style="159" bestFit="1" customWidth="1"/>
    <col min="3" max="3" width="6.375" style="121" bestFit="1" customWidth="1"/>
    <col min="4" max="4" width="9.25" style="115" customWidth="1"/>
    <col min="5" max="5" width="11.375" style="115" customWidth="1"/>
    <col min="6" max="9" width="11.25" style="115" bestFit="1" customWidth="1"/>
    <col min="10" max="10" width="11" style="115" customWidth="1"/>
    <col min="11" max="11" width="9.625" style="115" bestFit="1" customWidth="1"/>
    <col min="12" max="12" width="5.625" style="115" hidden="1" customWidth="1"/>
    <col min="13" max="13" width="11.375" style="145" hidden="1" customWidth="1"/>
    <col min="14" max="14" width="11.25" style="145" customWidth="1"/>
    <col min="15" max="16" width="5" style="115" customWidth="1"/>
    <col min="17" max="17" width="5" style="115" bestFit="1" customWidth="1"/>
    <col min="18" max="18" width="10.625" style="115" bestFit="1" customWidth="1"/>
    <col min="19" max="22" width="10.25" style="115" bestFit="1" customWidth="1"/>
    <col min="23" max="23" width="9" style="115"/>
    <col min="24" max="24" width="10.25" style="115" bestFit="1" customWidth="1"/>
    <col min="25" max="16384" width="9" style="115"/>
  </cols>
  <sheetData>
    <row r="1" spans="1:24" s="1" customFormat="1" ht="15" customHeight="1" x14ac:dyDescent="0.25">
      <c r="A1" s="362" t="s">
        <v>1</v>
      </c>
      <c r="B1" s="362" t="s">
        <v>2</v>
      </c>
      <c r="C1" s="349" t="s">
        <v>161</v>
      </c>
      <c r="D1" s="349" t="s">
        <v>164</v>
      </c>
      <c r="E1" s="349"/>
      <c r="F1" s="349"/>
      <c r="G1" s="349"/>
      <c r="H1" s="349" t="s">
        <v>476</v>
      </c>
      <c r="I1" s="349" t="s">
        <v>169</v>
      </c>
      <c r="J1" s="359" t="s">
        <v>170</v>
      </c>
      <c r="K1" s="359"/>
      <c r="L1" s="349" t="s">
        <v>173</v>
      </c>
      <c r="M1" s="360" t="s">
        <v>691</v>
      </c>
      <c r="N1" s="361"/>
    </row>
    <row r="2" spans="1:24" s="2" customFormat="1" ht="78.75" x14ac:dyDescent="0.25">
      <c r="A2" s="363"/>
      <c r="B2" s="363"/>
      <c r="C2" s="349"/>
      <c r="D2" s="84" t="s">
        <v>475</v>
      </c>
      <c r="E2" s="84" t="s">
        <v>166</v>
      </c>
      <c r="F2" s="84" t="s">
        <v>165</v>
      </c>
      <c r="G2" s="84" t="s">
        <v>167</v>
      </c>
      <c r="H2" s="349"/>
      <c r="I2" s="349"/>
      <c r="J2" s="84" t="s">
        <v>171</v>
      </c>
      <c r="K2" s="84" t="s">
        <v>172</v>
      </c>
      <c r="L2" s="349"/>
      <c r="M2" s="289" t="s">
        <v>306</v>
      </c>
      <c r="N2" s="290" t="s">
        <v>307</v>
      </c>
      <c r="R2" s="313" t="s">
        <v>712</v>
      </c>
      <c r="S2" s="313" t="s">
        <v>713</v>
      </c>
      <c r="T2" s="313" t="s">
        <v>715</v>
      </c>
      <c r="U2" s="313" t="s">
        <v>714</v>
      </c>
      <c r="V2" s="313" t="s">
        <v>185</v>
      </c>
      <c r="W2" s="313" t="s">
        <v>716</v>
      </c>
      <c r="X2" s="313" t="s">
        <v>707</v>
      </c>
    </row>
    <row r="3" spans="1:24" s="6" customFormat="1" x14ac:dyDescent="0.25">
      <c r="A3" s="3" t="s">
        <v>3</v>
      </c>
      <c r="B3" s="4" t="s">
        <v>4</v>
      </c>
      <c r="C3" s="4" t="s">
        <v>162</v>
      </c>
      <c r="D3" s="4">
        <v>1</v>
      </c>
      <c r="E3" s="4">
        <v>2</v>
      </c>
      <c r="F3" s="4">
        <v>3</v>
      </c>
      <c r="G3" s="4" t="s">
        <v>177</v>
      </c>
      <c r="H3" s="4">
        <v>5</v>
      </c>
      <c r="I3" s="4" t="s">
        <v>178</v>
      </c>
      <c r="J3" s="4">
        <v>7</v>
      </c>
      <c r="K3" s="90" t="s">
        <v>179</v>
      </c>
      <c r="L3" s="91"/>
      <c r="M3" s="143"/>
      <c r="N3" s="143"/>
      <c r="O3" s="7"/>
    </row>
    <row r="4" spans="1:24" s="275" customFormat="1" x14ac:dyDescent="0.25">
      <c r="A4" s="271"/>
      <c r="B4" s="282" t="s">
        <v>180</v>
      </c>
      <c r="C4" s="272"/>
      <c r="D4" s="273">
        <f t="shared" ref="D4:K4" si="0">D5+D9+D15+D19+D23+D27+D30+D34+D38+D42+D45+D51+D53+D57+D61+D66+D68+D71+D75+D78+D82+D85+D87+D90+D94+D98+D101+D103+D107+D110+D115+D118+D124+D129+D133+D137+D141+D147+D150+D154+D158+D163</f>
        <v>0</v>
      </c>
      <c r="E4" s="273">
        <f t="shared" si="0"/>
        <v>11300894</v>
      </c>
      <c r="F4" s="273">
        <f t="shared" si="0"/>
        <v>1364367.7</v>
      </c>
      <c r="G4" s="273">
        <f t="shared" si="0"/>
        <v>12665261.699999999</v>
      </c>
      <c r="H4" s="273">
        <f t="shared" si="0"/>
        <v>10405075.041999999</v>
      </c>
      <c r="I4" s="273">
        <f t="shared" si="0"/>
        <v>2260186.6580000003</v>
      </c>
      <c r="J4" s="273">
        <f t="shared" si="0"/>
        <v>1404695.0580000002</v>
      </c>
      <c r="K4" s="273">
        <f t="shared" si="0"/>
        <v>855491.6</v>
      </c>
      <c r="L4" s="271"/>
      <c r="M4" s="273">
        <f>M5+M9+M15+M19+M23+M27+M30+M34+M38+M42+M45+M51+M53+M57+M61+M66+M68+M71+M75+M78+M82+M85+M87+M90+M94+M98+M101+M103+M107+M110+M115+M118+M124+M129+M133+M137+M141+M147+M150+M154+M158+M163</f>
        <v>12665261.699999999</v>
      </c>
      <c r="N4" s="273">
        <f>N5+N9+N15+N19+N23+N27+N30+N34+N38+N42+N45+N51+N53+N57+N61+N66+N68+N71+N75+N78+N82+N85+N87+N90+N94+N98+N101+N103+N107+N110+N115+N118+N124+N129+N133+N137+N141+N147+N150+N154+N158+N163</f>
        <v>10405075.041999999</v>
      </c>
      <c r="O4" s="274">
        <f>G4-SUM(D4:F4)</f>
        <v>0</v>
      </c>
      <c r="P4" s="274">
        <f>G4-H4-I4</f>
        <v>0</v>
      </c>
      <c r="Q4" s="274">
        <f>I4-J4-K4</f>
        <v>0</v>
      </c>
      <c r="R4" s="273">
        <f>R5+R9+R15+R19+R23+R27+R30+R34+R38+R42+R45+R51+R53+R57+R61+R66+R68+R71+R75+R78+R82+R85+R87+R90+R94+R98+R101+R103+R107+R110+R115+R118+R124+R129+R133+R137+R141+R147+R150+R154+R158+R163</f>
        <v>1673107.5</v>
      </c>
      <c r="S4" s="273">
        <f t="shared" ref="S4:X4" si="1">S5+S9+S15+S19+S23+S27+S30+S34+S38+S42+S45+S51+S53+S57+S61+S66+S68+S71+S75+S78+S82+S85+S87+S90+S94+S98+S101+S103+S107+S110+S115+S118+S124+S129+S133+S137+S141+S147+S150+S154+S158+S163</f>
        <v>1673108.5</v>
      </c>
      <c r="T4" s="273">
        <f t="shared" si="1"/>
        <v>1673109.5</v>
      </c>
      <c r="U4" s="273">
        <f t="shared" si="1"/>
        <v>1673109.5</v>
      </c>
      <c r="V4" s="273">
        <f t="shared" si="1"/>
        <v>1673110.5</v>
      </c>
      <c r="W4" s="273">
        <f t="shared" si="1"/>
        <v>1673111.5</v>
      </c>
      <c r="X4" s="273">
        <f t="shared" si="1"/>
        <v>1673111.5</v>
      </c>
    </row>
    <row r="5" spans="1:24" s="278" customFormat="1" x14ac:dyDescent="0.25">
      <c r="A5" s="147">
        <v>1</v>
      </c>
      <c r="B5" s="283" t="s">
        <v>181</v>
      </c>
      <c r="C5" s="148" t="s">
        <v>186</v>
      </c>
      <c r="D5" s="149">
        <f t="shared" ref="D5:K5" si="2">SUM(D6:D8)</f>
        <v>0</v>
      </c>
      <c r="E5" s="149">
        <f t="shared" si="2"/>
        <v>311760</v>
      </c>
      <c r="F5" s="149">
        <f t="shared" si="2"/>
        <v>1120</v>
      </c>
      <c r="G5" s="149">
        <f t="shared" si="2"/>
        <v>312880</v>
      </c>
      <c r="H5" s="149">
        <f t="shared" si="2"/>
        <v>294006</v>
      </c>
      <c r="I5" s="149">
        <f t="shared" si="2"/>
        <v>18874</v>
      </c>
      <c r="J5" s="149">
        <f t="shared" si="2"/>
        <v>11680</v>
      </c>
      <c r="K5" s="149">
        <f t="shared" si="2"/>
        <v>7194</v>
      </c>
      <c r="L5" s="147"/>
      <c r="M5" s="276">
        <v>312880</v>
      </c>
      <c r="N5" s="277">
        <v>294006</v>
      </c>
      <c r="O5" s="277">
        <f>G5-SUM(D5:F5)</f>
        <v>0</v>
      </c>
      <c r="P5" s="277">
        <f>G5-H5-I5</f>
        <v>0</v>
      </c>
      <c r="Q5" s="277">
        <f>I5-J5-K5</f>
        <v>0</v>
      </c>
      <c r="R5" s="277">
        <v>294006</v>
      </c>
      <c r="S5" s="277">
        <v>294007</v>
      </c>
      <c r="T5" s="277">
        <v>294008</v>
      </c>
      <c r="U5" s="277">
        <v>294008</v>
      </c>
      <c r="V5" s="277">
        <v>294009</v>
      </c>
      <c r="W5" s="277">
        <v>294010</v>
      </c>
      <c r="X5" s="277">
        <v>294010</v>
      </c>
    </row>
    <row r="6" spans="1:24" s="280" customFormat="1" x14ac:dyDescent="0.25">
      <c r="A6" s="153" t="s">
        <v>174</v>
      </c>
      <c r="B6" s="152" t="s">
        <v>183</v>
      </c>
      <c r="C6" s="151"/>
      <c r="D6" s="146"/>
      <c r="E6" s="146">
        <v>12960</v>
      </c>
      <c r="F6" s="146"/>
      <c r="G6" s="146">
        <f>SUM(D6:F6)</f>
        <v>12960</v>
      </c>
      <c r="H6" s="146">
        <v>2400</v>
      </c>
      <c r="I6" s="146">
        <f>G6-H6</f>
        <v>10560</v>
      </c>
      <c r="J6" s="146">
        <f>I6-K6</f>
        <v>10560</v>
      </c>
      <c r="K6" s="146"/>
      <c r="L6" s="150"/>
      <c r="M6" s="279">
        <f>G5-M5</f>
        <v>0</v>
      </c>
      <c r="N6" s="279">
        <f>H5-N5</f>
        <v>0</v>
      </c>
      <c r="S6" s="279">
        <f>H6</f>
        <v>2400</v>
      </c>
      <c r="T6" s="279"/>
    </row>
    <row r="7" spans="1:24" s="280" customFormat="1" x14ac:dyDescent="0.25">
      <c r="A7" s="153" t="s">
        <v>174</v>
      </c>
      <c r="B7" s="152" t="s">
        <v>184</v>
      </c>
      <c r="C7" s="151"/>
      <c r="D7" s="146"/>
      <c r="E7" s="146">
        <v>298800</v>
      </c>
      <c r="F7" s="146"/>
      <c r="G7" s="146">
        <f t="shared" ref="G7" si="3">SUM(D7:F7)</f>
        <v>298800</v>
      </c>
      <c r="H7" s="146">
        <v>291606</v>
      </c>
      <c r="I7" s="146">
        <f t="shared" ref="I7" si="4">G7-H7</f>
        <v>7194</v>
      </c>
      <c r="J7" s="146">
        <f t="shared" ref="J7:J41" si="5">I7-K7</f>
        <v>0</v>
      </c>
      <c r="K7" s="146">
        <f>I7</f>
        <v>7194</v>
      </c>
      <c r="L7" s="150"/>
      <c r="M7" s="279"/>
      <c r="N7" s="279"/>
      <c r="U7" s="279">
        <f>H7</f>
        <v>291606</v>
      </c>
    </row>
    <row r="8" spans="1:24" s="280" customFormat="1" ht="31.5" x14ac:dyDescent="0.25">
      <c r="A8" s="153" t="s">
        <v>174</v>
      </c>
      <c r="B8" s="152" t="s">
        <v>309</v>
      </c>
      <c r="C8" s="151"/>
      <c r="D8" s="146"/>
      <c r="E8" s="146"/>
      <c r="F8" s="146">
        <v>1120</v>
      </c>
      <c r="G8" s="146">
        <f t="shared" ref="G8" si="6">SUM(D8:F8)</f>
        <v>1120</v>
      </c>
      <c r="H8" s="146"/>
      <c r="I8" s="146">
        <f t="shared" ref="I8" si="7">G8-H8</f>
        <v>1120</v>
      </c>
      <c r="J8" s="146">
        <f t="shared" si="5"/>
        <v>1120</v>
      </c>
      <c r="K8" s="146"/>
      <c r="L8" s="150"/>
      <c r="M8" s="279"/>
      <c r="N8" s="279"/>
      <c r="X8" s="279">
        <f>H8</f>
        <v>0</v>
      </c>
    </row>
    <row r="9" spans="1:24" s="278" customFormat="1" x14ac:dyDescent="0.25">
      <c r="A9" s="147">
        <v>2</v>
      </c>
      <c r="B9" s="283" t="s">
        <v>187</v>
      </c>
      <c r="C9" s="148" t="s">
        <v>186</v>
      </c>
      <c r="D9" s="149">
        <f t="shared" ref="D9:K9" si="8">SUM(D10:D14)</f>
        <v>0</v>
      </c>
      <c r="E9" s="149">
        <f t="shared" si="8"/>
        <v>428100</v>
      </c>
      <c r="F9" s="149">
        <f t="shared" si="8"/>
        <v>317277.5</v>
      </c>
      <c r="G9" s="149">
        <f>SUM(G10:G14)</f>
        <v>745377.5</v>
      </c>
      <c r="H9" s="149">
        <f t="shared" si="8"/>
        <v>571466</v>
      </c>
      <c r="I9" s="149">
        <f t="shared" si="8"/>
        <v>173911.5</v>
      </c>
      <c r="J9" s="149">
        <f t="shared" si="8"/>
        <v>171277.5</v>
      </c>
      <c r="K9" s="149">
        <f t="shared" si="8"/>
        <v>2634</v>
      </c>
      <c r="L9" s="147"/>
      <c r="M9" s="276">
        <v>745377.5</v>
      </c>
      <c r="N9" s="277">
        <v>571466</v>
      </c>
      <c r="O9" s="277">
        <f>G9-SUM(D9:F9)</f>
        <v>0</v>
      </c>
      <c r="P9" s="277">
        <f>G9-H9-I9</f>
        <v>0</v>
      </c>
      <c r="Q9" s="277">
        <f>I9-J9-K9</f>
        <v>0</v>
      </c>
      <c r="R9" s="277">
        <v>571466</v>
      </c>
      <c r="S9" s="277">
        <v>571466</v>
      </c>
      <c r="T9" s="277">
        <v>571466</v>
      </c>
      <c r="U9" s="277">
        <v>571466</v>
      </c>
      <c r="V9" s="277">
        <v>571466</v>
      </c>
      <c r="W9" s="277">
        <v>571466</v>
      </c>
      <c r="X9" s="277">
        <v>571466</v>
      </c>
    </row>
    <row r="10" spans="1:24" s="280" customFormat="1" x14ac:dyDescent="0.25">
      <c r="A10" s="153" t="s">
        <v>174</v>
      </c>
      <c r="B10" s="152" t="s">
        <v>183</v>
      </c>
      <c r="C10" s="151"/>
      <c r="D10" s="146"/>
      <c r="E10" s="146">
        <v>14400</v>
      </c>
      <c r="F10" s="146"/>
      <c r="G10" s="146">
        <f t="shared" ref="G10" si="9">SUM(D10:F10)</f>
        <v>14400</v>
      </c>
      <c r="H10" s="146">
        <v>4000</v>
      </c>
      <c r="I10" s="146">
        <f t="shared" ref="I10" si="10">G10-H10</f>
        <v>10400</v>
      </c>
      <c r="J10" s="146">
        <f t="shared" si="5"/>
        <v>10400</v>
      </c>
      <c r="K10" s="146"/>
      <c r="L10" s="150"/>
      <c r="M10" s="279">
        <f>G9-M9</f>
        <v>0</v>
      </c>
      <c r="N10" s="279">
        <f>H9-N9</f>
        <v>0</v>
      </c>
      <c r="S10" s="279">
        <f>H10</f>
        <v>4000</v>
      </c>
      <c r="T10" s="279"/>
    </row>
    <row r="11" spans="1:24" s="280" customFormat="1" x14ac:dyDescent="0.25">
      <c r="A11" s="153" t="s">
        <v>174</v>
      </c>
      <c r="B11" s="152" t="s">
        <v>184</v>
      </c>
      <c r="C11" s="151"/>
      <c r="D11" s="146"/>
      <c r="E11" s="146">
        <v>393900</v>
      </c>
      <c r="F11" s="146"/>
      <c r="G11" s="146">
        <f t="shared" ref="G11:G14" si="11">SUM(D11:F11)</f>
        <v>393900</v>
      </c>
      <c r="H11" s="146">
        <v>391266</v>
      </c>
      <c r="I11" s="146">
        <f t="shared" ref="I11:I14" si="12">G11-H11</f>
        <v>2634</v>
      </c>
      <c r="J11" s="146">
        <f t="shared" si="5"/>
        <v>0</v>
      </c>
      <c r="K11" s="146">
        <f>I11</f>
        <v>2634</v>
      </c>
      <c r="L11" s="150"/>
      <c r="M11" s="279"/>
      <c r="N11" s="279"/>
      <c r="U11" s="279">
        <f>H11</f>
        <v>391266</v>
      </c>
    </row>
    <row r="12" spans="1:24" s="280" customFormat="1" x14ac:dyDescent="0.25">
      <c r="A12" s="153" t="s">
        <v>174</v>
      </c>
      <c r="B12" s="152" t="s">
        <v>185</v>
      </c>
      <c r="C12" s="151"/>
      <c r="D12" s="146"/>
      <c r="E12" s="146">
        <v>19800</v>
      </c>
      <c r="F12" s="146"/>
      <c r="G12" s="146">
        <f t="shared" si="11"/>
        <v>19800</v>
      </c>
      <c r="H12" s="146"/>
      <c r="I12" s="146">
        <f t="shared" ref="I12" si="13">G12-H12</f>
        <v>19800</v>
      </c>
      <c r="J12" s="146">
        <f t="shared" ref="J12" si="14">I12-K12</f>
        <v>19800</v>
      </c>
      <c r="K12" s="146"/>
      <c r="L12" s="150"/>
      <c r="M12" s="279"/>
      <c r="N12" s="279"/>
      <c r="V12" s="279">
        <f>H12</f>
        <v>0</v>
      </c>
      <c r="W12" s="279"/>
    </row>
    <row r="13" spans="1:24" s="280" customFormat="1" ht="52.5" customHeight="1" x14ac:dyDescent="0.25">
      <c r="A13" s="153" t="s">
        <v>174</v>
      </c>
      <c r="B13" s="152" t="s">
        <v>628</v>
      </c>
      <c r="C13" s="151"/>
      <c r="D13" s="146"/>
      <c r="E13" s="146"/>
      <c r="F13" s="146">
        <v>316000</v>
      </c>
      <c r="G13" s="146">
        <f t="shared" si="11"/>
        <v>316000</v>
      </c>
      <c r="H13" s="146">
        <v>176200</v>
      </c>
      <c r="I13" s="146">
        <f t="shared" si="12"/>
        <v>139800</v>
      </c>
      <c r="J13" s="146">
        <f t="shared" si="5"/>
        <v>139800</v>
      </c>
      <c r="K13" s="146"/>
      <c r="L13" s="150"/>
      <c r="M13" s="279"/>
      <c r="N13" s="279"/>
      <c r="X13" s="279">
        <f>H13</f>
        <v>176200</v>
      </c>
    </row>
    <row r="14" spans="1:24" s="280" customFormat="1" ht="31.5" x14ac:dyDescent="0.25">
      <c r="A14" s="153" t="s">
        <v>174</v>
      </c>
      <c r="B14" s="152" t="s">
        <v>309</v>
      </c>
      <c r="C14" s="151"/>
      <c r="D14" s="146"/>
      <c r="E14" s="146"/>
      <c r="F14" s="146">
        <v>1277.5</v>
      </c>
      <c r="G14" s="146">
        <f t="shared" si="11"/>
        <v>1277.5</v>
      </c>
      <c r="H14" s="146"/>
      <c r="I14" s="146">
        <f t="shared" si="12"/>
        <v>1277.5</v>
      </c>
      <c r="J14" s="146">
        <f t="shared" si="5"/>
        <v>1277.5</v>
      </c>
      <c r="K14" s="146"/>
      <c r="L14" s="150"/>
      <c r="M14" s="279"/>
      <c r="N14" s="279"/>
      <c r="X14" s="279">
        <f>H14</f>
        <v>0</v>
      </c>
    </row>
    <row r="15" spans="1:24" s="278" customFormat="1" x14ac:dyDescent="0.25">
      <c r="A15" s="147">
        <v>3</v>
      </c>
      <c r="B15" s="283" t="s">
        <v>188</v>
      </c>
      <c r="C15" s="148" t="s">
        <v>186</v>
      </c>
      <c r="D15" s="149">
        <f t="shared" ref="D15:K15" si="15">SUM(D16:D18)</f>
        <v>0</v>
      </c>
      <c r="E15" s="149">
        <f t="shared" si="15"/>
        <v>147300</v>
      </c>
      <c r="F15" s="149">
        <f t="shared" si="15"/>
        <v>1207.5</v>
      </c>
      <c r="G15" s="149">
        <f t="shared" si="15"/>
        <v>148507.5</v>
      </c>
      <c r="H15" s="149">
        <f t="shared" si="15"/>
        <v>133381</v>
      </c>
      <c r="I15" s="149">
        <f t="shared" si="15"/>
        <v>15126.5</v>
      </c>
      <c r="J15" s="149">
        <f t="shared" si="15"/>
        <v>11927.5</v>
      </c>
      <c r="K15" s="149">
        <f t="shared" si="15"/>
        <v>3199</v>
      </c>
      <c r="L15" s="147"/>
      <c r="M15" s="276">
        <v>148507.5</v>
      </c>
      <c r="N15" s="277">
        <v>133381</v>
      </c>
      <c r="O15" s="277">
        <f>G15-SUM(D15:F15)</f>
        <v>0</v>
      </c>
      <c r="P15" s="277">
        <f>G15-H15-I15</f>
        <v>0</v>
      </c>
      <c r="Q15" s="277">
        <f>I15-J15-K15</f>
        <v>0</v>
      </c>
      <c r="R15" s="277">
        <v>133381</v>
      </c>
      <c r="S15" s="277">
        <v>133381</v>
      </c>
      <c r="T15" s="277">
        <v>133381</v>
      </c>
      <c r="U15" s="277">
        <v>133381</v>
      </c>
      <c r="V15" s="277">
        <v>133381</v>
      </c>
      <c r="W15" s="277">
        <v>133381</v>
      </c>
      <c r="X15" s="277">
        <v>133381</v>
      </c>
    </row>
    <row r="16" spans="1:24" s="280" customFormat="1" x14ac:dyDescent="0.25">
      <c r="A16" s="153" t="s">
        <v>174</v>
      </c>
      <c r="B16" s="152" t="s">
        <v>183</v>
      </c>
      <c r="C16" s="151"/>
      <c r="D16" s="146"/>
      <c r="E16" s="146">
        <v>14400</v>
      </c>
      <c r="F16" s="146"/>
      <c r="G16" s="146">
        <f t="shared" ref="G16:G18" si="16">SUM(D16:F16)</f>
        <v>14400</v>
      </c>
      <c r="H16" s="146">
        <v>3680</v>
      </c>
      <c r="I16" s="146">
        <f t="shared" ref="I16:I18" si="17">G16-H16</f>
        <v>10720</v>
      </c>
      <c r="J16" s="146">
        <f t="shared" si="5"/>
        <v>10720</v>
      </c>
      <c r="K16" s="146"/>
      <c r="L16" s="150"/>
      <c r="M16" s="279">
        <f>G15-M15</f>
        <v>0</v>
      </c>
      <c r="N16" s="279">
        <f>H15-N15</f>
        <v>0</v>
      </c>
      <c r="S16" s="279">
        <f>H16</f>
        <v>3680</v>
      </c>
    </row>
    <row r="17" spans="1:24" s="280" customFormat="1" x14ac:dyDescent="0.25">
      <c r="A17" s="153" t="s">
        <v>174</v>
      </c>
      <c r="B17" s="152" t="s">
        <v>184</v>
      </c>
      <c r="C17" s="151"/>
      <c r="D17" s="146"/>
      <c r="E17" s="146">
        <v>132900</v>
      </c>
      <c r="F17" s="146"/>
      <c r="G17" s="146">
        <f t="shared" si="16"/>
        <v>132900</v>
      </c>
      <c r="H17" s="146">
        <v>129701</v>
      </c>
      <c r="I17" s="146">
        <f t="shared" si="17"/>
        <v>3199</v>
      </c>
      <c r="J17" s="146">
        <f t="shared" si="5"/>
        <v>0</v>
      </c>
      <c r="K17" s="146">
        <f>I17</f>
        <v>3199</v>
      </c>
      <c r="L17" s="150"/>
      <c r="M17" s="279"/>
      <c r="N17" s="279"/>
      <c r="U17" s="279">
        <f>H17</f>
        <v>129701</v>
      </c>
    </row>
    <row r="18" spans="1:24" s="280" customFormat="1" ht="31.5" x14ac:dyDescent="0.25">
      <c r="A18" s="153" t="s">
        <v>174</v>
      </c>
      <c r="B18" s="152" t="s">
        <v>309</v>
      </c>
      <c r="C18" s="151"/>
      <c r="D18" s="146"/>
      <c r="E18" s="146"/>
      <c r="F18" s="146">
        <v>1207.5</v>
      </c>
      <c r="G18" s="146">
        <f t="shared" si="16"/>
        <v>1207.5</v>
      </c>
      <c r="H18" s="146"/>
      <c r="I18" s="146">
        <f t="shared" si="17"/>
        <v>1207.5</v>
      </c>
      <c r="J18" s="146">
        <f t="shared" si="5"/>
        <v>1207.5</v>
      </c>
      <c r="K18" s="146"/>
      <c r="L18" s="150"/>
      <c r="M18" s="279"/>
      <c r="N18" s="279"/>
      <c r="X18" s="279">
        <f>H18</f>
        <v>0</v>
      </c>
    </row>
    <row r="19" spans="1:24" s="278" customFormat="1" x14ac:dyDescent="0.25">
      <c r="A19" s="147">
        <v>4</v>
      </c>
      <c r="B19" s="283" t="s">
        <v>189</v>
      </c>
      <c r="C19" s="148" t="s">
        <v>186</v>
      </c>
      <c r="D19" s="149">
        <f t="shared" ref="D19:K19" si="18">SUM(D20:D22)</f>
        <v>0</v>
      </c>
      <c r="E19" s="149">
        <f t="shared" si="18"/>
        <v>773200</v>
      </c>
      <c r="F19" s="149">
        <f t="shared" si="18"/>
        <v>3307.5</v>
      </c>
      <c r="G19" s="149">
        <f t="shared" si="18"/>
        <v>776507.5</v>
      </c>
      <c r="H19" s="149">
        <f t="shared" si="18"/>
        <v>3307.5</v>
      </c>
      <c r="I19" s="149">
        <f t="shared" si="18"/>
        <v>773200</v>
      </c>
      <c r="J19" s="149">
        <f t="shared" si="18"/>
        <v>271200</v>
      </c>
      <c r="K19" s="149">
        <f t="shared" si="18"/>
        <v>502000</v>
      </c>
      <c r="L19" s="147"/>
      <c r="M19" s="276">
        <v>776507.5</v>
      </c>
      <c r="N19" s="277">
        <v>3307.5</v>
      </c>
      <c r="O19" s="277">
        <f>G19-SUM(D19:F19)</f>
        <v>0</v>
      </c>
      <c r="P19" s="277">
        <f>G19-H19-I19</f>
        <v>0</v>
      </c>
      <c r="Q19" s="277">
        <f>I19-J19-K19</f>
        <v>0</v>
      </c>
      <c r="R19" s="277">
        <v>3307.5</v>
      </c>
      <c r="S19" s="277">
        <v>3307.5</v>
      </c>
      <c r="T19" s="277">
        <v>3307.5</v>
      </c>
      <c r="U19" s="277">
        <v>3307.5</v>
      </c>
      <c r="V19" s="277">
        <v>3307.5</v>
      </c>
      <c r="W19" s="277">
        <v>3307.5</v>
      </c>
      <c r="X19" s="277">
        <v>3307.5</v>
      </c>
    </row>
    <row r="20" spans="1:24" s="280" customFormat="1" x14ac:dyDescent="0.25">
      <c r="A20" s="153" t="s">
        <v>174</v>
      </c>
      <c r="B20" s="152" t="s">
        <v>183</v>
      </c>
      <c r="C20" s="151"/>
      <c r="D20" s="146"/>
      <c r="E20" s="146">
        <v>7200</v>
      </c>
      <c r="F20" s="146"/>
      <c r="G20" s="146">
        <f t="shared" ref="G20:G22" si="19">SUM(D20:F20)</f>
        <v>7200</v>
      </c>
      <c r="H20" s="146"/>
      <c r="I20" s="146">
        <f t="shared" ref="I20:I22" si="20">G20-H20</f>
        <v>7200</v>
      </c>
      <c r="J20" s="146">
        <f t="shared" si="5"/>
        <v>7200</v>
      </c>
      <c r="K20" s="146"/>
      <c r="L20" s="150"/>
      <c r="M20" s="279">
        <f>G19-M19</f>
        <v>0</v>
      </c>
      <c r="N20" s="279">
        <f>H19-N19</f>
        <v>0</v>
      </c>
      <c r="S20" s="279">
        <f>H20</f>
        <v>0</v>
      </c>
    </row>
    <row r="21" spans="1:24" s="280" customFormat="1" x14ac:dyDescent="0.25">
      <c r="A21" s="153" t="s">
        <v>174</v>
      </c>
      <c r="B21" s="152" t="s">
        <v>184</v>
      </c>
      <c r="C21" s="151"/>
      <c r="D21" s="146"/>
      <c r="E21" s="146">
        <v>766000</v>
      </c>
      <c r="F21" s="146"/>
      <c r="G21" s="146">
        <f t="shared" si="19"/>
        <v>766000</v>
      </c>
      <c r="H21" s="146"/>
      <c r="I21" s="146">
        <f t="shared" si="20"/>
        <v>766000</v>
      </c>
      <c r="J21" s="146">
        <f t="shared" si="5"/>
        <v>264000</v>
      </c>
      <c r="K21" s="146">
        <v>502000</v>
      </c>
      <c r="L21" s="150"/>
      <c r="M21" s="311" t="s">
        <v>711</v>
      </c>
      <c r="N21" s="279"/>
      <c r="U21" s="279">
        <f>H21</f>
        <v>0</v>
      </c>
    </row>
    <row r="22" spans="1:24" s="280" customFormat="1" ht="31.5" x14ac:dyDescent="0.25">
      <c r="A22" s="153" t="s">
        <v>174</v>
      </c>
      <c r="B22" s="152" t="s">
        <v>309</v>
      </c>
      <c r="C22" s="151"/>
      <c r="D22" s="146"/>
      <c r="E22" s="146"/>
      <c r="F22" s="146">
        <v>3307.5</v>
      </c>
      <c r="G22" s="146">
        <f t="shared" si="19"/>
        <v>3307.5</v>
      </c>
      <c r="H22" s="146">
        <f>G22</f>
        <v>3307.5</v>
      </c>
      <c r="I22" s="146">
        <f t="shared" si="20"/>
        <v>0</v>
      </c>
      <c r="J22" s="146">
        <f t="shared" si="5"/>
        <v>0</v>
      </c>
      <c r="K22" s="146"/>
      <c r="L22" s="150"/>
      <c r="M22" s="279"/>
      <c r="N22" s="279"/>
      <c r="X22" s="279">
        <f>H22</f>
        <v>3307.5</v>
      </c>
    </row>
    <row r="23" spans="1:24" s="278" customFormat="1" x14ac:dyDescent="0.25">
      <c r="A23" s="147">
        <v>5</v>
      </c>
      <c r="B23" s="283" t="s">
        <v>190</v>
      </c>
      <c r="C23" s="148" t="s">
        <v>186</v>
      </c>
      <c r="D23" s="149">
        <f t="shared" ref="D23:K23" si="21">SUM(D24:D26)</f>
        <v>0</v>
      </c>
      <c r="E23" s="149">
        <f t="shared" si="21"/>
        <v>416400</v>
      </c>
      <c r="F23" s="149">
        <f t="shared" si="21"/>
        <v>15000</v>
      </c>
      <c r="G23" s="149">
        <f t="shared" si="21"/>
        <v>431400</v>
      </c>
      <c r="H23" s="149">
        <f t="shared" si="21"/>
        <v>409722</v>
      </c>
      <c r="I23" s="149">
        <f t="shared" si="21"/>
        <v>21678</v>
      </c>
      <c r="J23" s="149">
        <f t="shared" si="21"/>
        <v>12000</v>
      </c>
      <c r="K23" s="149">
        <f t="shared" si="21"/>
        <v>9678</v>
      </c>
      <c r="L23" s="147"/>
      <c r="M23" s="276">
        <v>431400</v>
      </c>
      <c r="N23" s="277">
        <v>409722</v>
      </c>
      <c r="O23" s="277">
        <f>G23-SUM(D23:F23)</f>
        <v>0</v>
      </c>
      <c r="P23" s="277">
        <f>G23-H23-I23</f>
        <v>0</v>
      </c>
      <c r="Q23" s="277">
        <f>I23-J23-K23</f>
        <v>0</v>
      </c>
      <c r="R23" s="277">
        <v>409722</v>
      </c>
      <c r="S23" s="277">
        <v>409722</v>
      </c>
      <c r="T23" s="277">
        <v>409722</v>
      </c>
      <c r="U23" s="277">
        <v>409722</v>
      </c>
      <c r="V23" s="277">
        <v>409722</v>
      </c>
      <c r="W23" s="277">
        <v>409722</v>
      </c>
      <c r="X23" s="277">
        <v>409722</v>
      </c>
    </row>
    <row r="24" spans="1:24" s="280" customFormat="1" x14ac:dyDescent="0.25">
      <c r="A24" s="153" t="s">
        <v>174</v>
      </c>
      <c r="B24" s="152" t="s">
        <v>183</v>
      </c>
      <c r="C24" s="151"/>
      <c r="D24" s="146"/>
      <c r="E24" s="146">
        <v>14400</v>
      </c>
      <c r="F24" s="146"/>
      <c r="G24" s="146">
        <f t="shared" ref="G24:G25" si="22">SUM(D24:F24)</f>
        <v>14400</v>
      </c>
      <c r="H24" s="146">
        <v>2400</v>
      </c>
      <c r="I24" s="146">
        <f t="shared" ref="I24:I25" si="23">G24-H24</f>
        <v>12000</v>
      </c>
      <c r="J24" s="146">
        <f t="shared" si="5"/>
        <v>12000</v>
      </c>
      <c r="K24" s="146"/>
      <c r="L24" s="150"/>
      <c r="M24" s="279">
        <f>G23-M23</f>
        <v>0</v>
      </c>
      <c r="N24" s="279">
        <f>H23-N23</f>
        <v>0</v>
      </c>
      <c r="S24" s="279">
        <f>H24</f>
        <v>2400</v>
      </c>
    </row>
    <row r="25" spans="1:24" s="280" customFormat="1" x14ac:dyDescent="0.25">
      <c r="A25" s="153" t="s">
        <v>174</v>
      </c>
      <c r="B25" s="152" t="s">
        <v>184</v>
      </c>
      <c r="C25" s="151"/>
      <c r="D25" s="146"/>
      <c r="E25" s="146">
        <v>402000</v>
      </c>
      <c r="F25" s="146"/>
      <c r="G25" s="146">
        <f t="shared" si="22"/>
        <v>402000</v>
      </c>
      <c r="H25" s="146">
        <v>392322</v>
      </c>
      <c r="I25" s="146">
        <f t="shared" si="23"/>
        <v>9678</v>
      </c>
      <c r="J25" s="146">
        <f t="shared" si="5"/>
        <v>0</v>
      </c>
      <c r="K25" s="146">
        <f>I25</f>
        <v>9678</v>
      </c>
      <c r="L25" s="150"/>
      <c r="M25" s="279"/>
      <c r="N25" s="279"/>
      <c r="U25" s="279">
        <f>H25</f>
        <v>392322</v>
      </c>
    </row>
    <row r="26" spans="1:24" s="280" customFormat="1" ht="47.25" x14ac:dyDescent="0.25">
      <c r="A26" s="153" t="s">
        <v>174</v>
      </c>
      <c r="B26" s="152" t="s">
        <v>626</v>
      </c>
      <c r="C26" s="151"/>
      <c r="D26" s="146"/>
      <c r="E26" s="146"/>
      <c r="F26" s="146">
        <v>15000</v>
      </c>
      <c r="G26" s="146">
        <f t="shared" ref="G26" si="24">SUM(D26:F26)</f>
        <v>15000</v>
      </c>
      <c r="H26" s="146">
        <f>G26</f>
        <v>15000</v>
      </c>
      <c r="I26" s="146">
        <f t="shared" ref="I26" si="25">G26-H26</f>
        <v>0</v>
      </c>
      <c r="J26" s="146">
        <f t="shared" si="5"/>
        <v>0</v>
      </c>
      <c r="K26" s="146"/>
      <c r="L26" s="150"/>
      <c r="M26" s="279"/>
      <c r="N26" s="279"/>
      <c r="X26" s="279">
        <f>H26</f>
        <v>15000</v>
      </c>
    </row>
    <row r="27" spans="1:24" s="278" customFormat="1" x14ac:dyDescent="0.25">
      <c r="A27" s="147">
        <v>6</v>
      </c>
      <c r="B27" s="283" t="s">
        <v>191</v>
      </c>
      <c r="C27" s="148" t="s">
        <v>186</v>
      </c>
      <c r="D27" s="149">
        <f t="shared" ref="D27:K27" si="26">SUM(D28:D29)</f>
        <v>0</v>
      </c>
      <c r="E27" s="149">
        <f t="shared" si="26"/>
        <v>7200</v>
      </c>
      <c r="F27" s="149">
        <f t="shared" si="26"/>
        <v>962.5</v>
      </c>
      <c r="G27" s="149">
        <f t="shared" si="26"/>
        <v>8162.5</v>
      </c>
      <c r="H27" s="149">
        <f t="shared" si="26"/>
        <v>4800</v>
      </c>
      <c r="I27" s="149">
        <f t="shared" si="26"/>
        <v>3362.5</v>
      </c>
      <c r="J27" s="149">
        <f t="shared" si="26"/>
        <v>3362.5</v>
      </c>
      <c r="K27" s="149">
        <f t="shared" si="26"/>
        <v>0</v>
      </c>
      <c r="L27" s="147"/>
      <c r="M27" s="276">
        <v>8162.5</v>
      </c>
      <c r="N27" s="277">
        <v>4800</v>
      </c>
      <c r="O27" s="277">
        <f>G27-SUM(D27:F27)</f>
        <v>0</v>
      </c>
      <c r="P27" s="277">
        <f>G27-H27-I27</f>
        <v>0</v>
      </c>
      <c r="Q27" s="277">
        <f>I27-J27-K27</f>
        <v>0</v>
      </c>
      <c r="R27" s="277">
        <v>4800</v>
      </c>
      <c r="S27" s="277">
        <v>4800</v>
      </c>
      <c r="T27" s="277">
        <v>4800</v>
      </c>
      <c r="U27" s="277">
        <v>4800</v>
      </c>
      <c r="V27" s="277">
        <v>4800</v>
      </c>
      <c r="W27" s="277">
        <v>4800</v>
      </c>
      <c r="X27" s="277">
        <v>4800</v>
      </c>
    </row>
    <row r="28" spans="1:24" s="280" customFormat="1" x14ac:dyDescent="0.25">
      <c r="A28" s="153" t="s">
        <v>174</v>
      </c>
      <c r="B28" s="152" t="s">
        <v>183</v>
      </c>
      <c r="C28" s="151"/>
      <c r="D28" s="146"/>
      <c r="E28" s="146">
        <v>7200</v>
      </c>
      <c r="F28" s="146"/>
      <c r="G28" s="146">
        <f t="shared" ref="G28:G29" si="27">SUM(D28:F28)</f>
        <v>7200</v>
      </c>
      <c r="H28" s="146">
        <v>4800</v>
      </c>
      <c r="I28" s="146">
        <f t="shared" ref="I28:I29" si="28">G28-H28</f>
        <v>2400</v>
      </c>
      <c r="J28" s="146">
        <f t="shared" si="5"/>
        <v>2400</v>
      </c>
      <c r="K28" s="146"/>
      <c r="L28" s="150"/>
      <c r="M28" s="279">
        <f>G27-M27</f>
        <v>0</v>
      </c>
      <c r="N28" s="279">
        <f>H27-N27</f>
        <v>0</v>
      </c>
      <c r="S28" s="279">
        <f>H28</f>
        <v>4800</v>
      </c>
    </row>
    <row r="29" spans="1:24" s="280" customFormat="1" ht="31.5" x14ac:dyDescent="0.25">
      <c r="A29" s="153" t="s">
        <v>174</v>
      </c>
      <c r="B29" s="152" t="s">
        <v>309</v>
      </c>
      <c r="C29" s="151"/>
      <c r="D29" s="146"/>
      <c r="E29" s="146"/>
      <c r="F29" s="146">
        <v>962.5</v>
      </c>
      <c r="G29" s="146">
        <f t="shared" si="27"/>
        <v>962.5</v>
      </c>
      <c r="H29" s="146"/>
      <c r="I29" s="146">
        <f t="shared" si="28"/>
        <v>962.5</v>
      </c>
      <c r="J29" s="146">
        <f t="shared" si="5"/>
        <v>962.5</v>
      </c>
      <c r="K29" s="146"/>
      <c r="L29" s="150"/>
      <c r="M29" s="279"/>
      <c r="N29" s="279"/>
      <c r="X29" s="279">
        <f>H29</f>
        <v>0</v>
      </c>
    </row>
    <row r="30" spans="1:24" s="278" customFormat="1" x14ac:dyDescent="0.25">
      <c r="A30" s="147">
        <v>7</v>
      </c>
      <c r="B30" s="283" t="s">
        <v>192</v>
      </c>
      <c r="C30" s="148" t="s">
        <v>186</v>
      </c>
      <c r="D30" s="149">
        <f t="shared" ref="D30:K30" si="29">SUM(D31:D33)</f>
        <v>0</v>
      </c>
      <c r="E30" s="149">
        <f t="shared" si="29"/>
        <v>7200</v>
      </c>
      <c r="F30" s="149">
        <f t="shared" si="29"/>
        <v>8472.5</v>
      </c>
      <c r="G30" s="149">
        <f t="shared" si="29"/>
        <v>15672.5</v>
      </c>
      <c r="H30" s="149">
        <f t="shared" si="29"/>
        <v>9600</v>
      </c>
      <c r="I30" s="149">
        <f t="shared" si="29"/>
        <v>6072.5</v>
      </c>
      <c r="J30" s="149">
        <f t="shared" si="29"/>
        <v>6072.5</v>
      </c>
      <c r="K30" s="149">
        <f t="shared" si="29"/>
        <v>0</v>
      </c>
      <c r="L30" s="147"/>
      <c r="M30" s="276">
        <v>15672.5</v>
      </c>
      <c r="N30" s="277">
        <v>9600</v>
      </c>
      <c r="O30" s="277">
        <f>G30-SUM(D30:F30)</f>
        <v>0</v>
      </c>
      <c r="P30" s="277">
        <f>G30-H30-I30</f>
        <v>0</v>
      </c>
      <c r="Q30" s="277">
        <f>I30-J30-K30</f>
        <v>0</v>
      </c>
      <c r="R30" s="277">
        <v>9600</v>
      </c>
      <c r="S30" s="277">
        <v>9600</v>
      </c>
      <c r="T30" s="277">
        <v>9600</v>
      </c>
      <c r="U30" s="277">
        <v>9600</v>
      </c>
      <c r="V30" s="277">
        <v>9600</v>
      </c>
      <c r="W30" s="277">
        <v>9600</v>
      </c>
      <c r="X30" s="277">
        <v>9600</v>
      </c>
    </row>
    <row r="31" spans="1:24" s="280" customFormat="1" x14ac:dyDescent="0.25">
      <c r="A31" s="153" t="s">
        <v>174</v>
      </c>
      <c r="B31" s="152" t="s">
        <v>183</v>
      </c>
      <c r="C31" s="151"/>
      <c r="D31" s="146"/>
      <c r="E31" s="146">
        <v>7200</v>
      </c>
      <c r="F31" s="146"/>
      <c r="G31" s="146">
        <f t="shared" ref="G31:G33" si="30">SUM(D31:F31)</f>
        <v>7200</v>
      </c>
      <c r="H31" s="146">
        <v>1600</v>
      </c>
      <c r="I31" s="146">
        <f t="shared" ref="I31:I33" si="31">G31-H31</f>
        <v>5600</v>
      </c>
      <c r="J31" s="146">
        <f t="shared" si="5"/>
        <v>5600</v>
      </c>
      <c r="K31" s="146"/>
      <c r="L31" s="150"/>
      <c r="M31" s="279">
        <f>G30-M30</f>
        <v>0</v>
      </c>
      <c r="N31" s="279">
        <f>H30-N30</f>
        <v>0</v>
      </c>
      <c r="S31" s="279">
        <f>H31</f>
        <v>1600</v>
      </c>
    </row>
    <row r="32" spans="1:24" s="280" customFormat="1" x14ac:dyDescent="0.25">
      <c r="A32" s="153" t="s">
        <v>174</v>
      </c>
      <c r="B32" s="25" t="s">
        <v>621</v>
      </c>
      <c r="C32" s="151"/>
      <c r="D32" s="146"/>
      <c r="E32" s="146"/>
      <c r="F32" s="146">
        <v>8000</v>
      </c>
      <c r="G32" s="146">
        <f t="shared" ref="G32" si="32">SUM(D32:F32)</f>
        <v>8000</v>
      </c>
      <c r="H32" s="146">
        <v>8000</v>
      </c>
      <c r="I32" s="146">
        <f t="shared" ref="I32" si="33">G32-H32</f>
        <v>0</v>
      </c>
      <c r="J32" s="146">
        <f t="shared" ref="J32" si="34">I32-K32</f>
        <v>0</v>
      </c>
      <c r="K32" s="146"/>
      <c r="L32" s="150"/>
      <c r="M32" s="279"/>
      <c r="N32" s="279"/>
      <c r="W32" s="279">
        <f>H32</f>
        <v>8000</v>
      </c>
    </row>
    <row r="33" spans="1:24" s="280" customFormat="1" ht="31.5" x14ac:dyDescent="0.25">
      <c r="A33" s="153" t="s">
        <v>174</v>
      </c>
      <c r="B33" s="152" t="s">
        <v>309</v>
      </c>
      <c r="C33" s="151"/>
      <c r="D33" s="146"/>
      <c r="E33" s="146"/>
      <c r="F33" s="146">
        <v>472.5</v>
      </c>
      <c r="G33" s="146">
        <f t="shared" si="30"/>
        <v>472.5</v>
      </c>
      <c r="H33" s="146"/>
      <c r="I33" s="146">
        <f t="shared" si="31"/>
        <v>472.5</v>
      </c>
      <c r="J33" s="146">
        <f t="shared" si="5"/>
        <v>472.5</v>
      </c>
      <c r="K33" s="146"/>
      <c r="L33" s="150"/>
      <c r="M33" s="279"/>
      <c r="N33" s="279"/>
      <c r="X33" s="279">
        <f>H33</f>
        <v>0</v>
      </c>
    </row>
    <row r="34" spans="1:24" s="278" customFormat="1" x14ac:dyDescent="0.25">
      <c r="A34" s="147">
        <v>8</v>
      </c>
      <c r="B34" s="283" t="s">
        <v>193</v>
      </c>
      <c r="C34" s="148" t="s">
        <v>186</v>
      </c>
      <c r="D34" s="149">
        <f t="shared" ref="D34:K34" si="35">SUM(D35:D37)</f>
        <v>0</v>
      </c>
      <c r="E34" s="149">
        <f t="shared" si="35"/>
        <v>212220</v>
      </c>
      <c r="F34" s="149">
        <f t="shared" si="35"/>
        <v>1347.5</v>
      </c>
      <c r="G34" s="149">
        <f t="shared" si="35"/>
        <v>213567.5</v>
      </c>
      <c r="H34" s="149">
        <f t="shared" si="35"/>
        <v>200668</v>
      </c>
      <c r="I34" s="149">
        <f t="shared" si="35"/>
        <v>12899.5</v>
      </c>
      <c r="J34" s="149">
        <f t="shared" si="35"/>
        <v>8067.5</v>
      </c>
      <c r="K34" s="149">
        <f t="shared" si="35"/>
        <v>4832</v>
      </c>
      <c r="L34" s="147"/>
      <c r="M34" s="277">
        <v>213567.5</v>
      </c>
      <c r="N34" s="277">
        <v>200668</v>
      </c>
      <c r="O34" s="277">
        <f>G34-SUM(D34:F34)</f>
        <v>0</v>
      </c>
      <c r="P34" s="277">
        <f>G34-H34-I34</f>
        <v>0</v>
      </c>
      <c r="Q34" s="277">
        <f>I34-J34-K34</f>
        <v>0</v>
      </c>
      <c r="R34" s="277">
        <v>200668</v>
      </c>
      <c r="S34" s="277">
        <v>200668</v>
      </c>
      <c r="T34" s="277">
        <v>200668</v>
      </c>
      <c r="U34" s="277">
        <v>200668</v>
      </c>
      <c r="V34" s="277">
        <v>200668</v>
      </c>
      <c r="W34" s="277">
        <v>200668</v>
      </c>
      <c r="X34" s="277">
        <v>200668</v>
      </c>
    </row>
    <row r="35" spans="1:24" s="280" customFormat="1" x14ac:dyDescent="0.25">
      <c r="A35" s="153" t="s">
        <v>174</v>
      </c>
      <c r="B35" s="152" t="s">
        <v>183</v>
      </c>
      <c r="C35" s="151"/>
      <c r="D35" s="146"/>
      <c r="E35" s="146">
        <v>11520</v>
      </c>
      <c r="F35" s="146"/>
      <c r="G35" s="146">
        <f t="shared" ref="G35:G37" si="36">SUM(D35:F35)</f>
        <v>11520</v>
      </c>
      <c r="H35" s="146">
        <v>4800</v>
      </c>
      <c r="I35" s="146">
        <f t="shared" ref="I35:I37" si="37">G35-H35</f>
        <v>6720</v>
      </c>
      <c r="J35" s="146">
        <f t="shared" si="5"/>
        <v>6720</v>
      </c>
      <c r="K35" s="146"/>
      <c r="L35" s="150"/>
      <c r="M35" s="279">
        <f>G34-M34</f>
        <v>0</v>
      </c>
      <c r="N35" s="279">
        <f>H34-N34</f>
        <v>0</v>
      </c>
      <c r="S35" s="279">
        <f>H35</f>
        <v>4800</v>
      </c>
    </row>
    <row r="36" spans="1:24" s="280" customFormat="1" x14ac:dyDescent="0.25">
      <c r="A36" s="153" t="s">
        <v>174</v>
      </c>
      <c r="B36" s="152" t="s">
        <v>184</v>
      </c>
      <c r="C36" s="151"/>
      <c r="D36" s="146"/>
      <c r="E36" s="146">
        <v>200700</v>
      </c>
      <c r="F36" s="146"/>
      <c r="G36" s="146">
        <f t="shared" si="36"/>
        <v>200700</v>
      </c>
      <c r="H36" s="146">
        <v>195868</v>
      </c>
      <c r="I36" s="146">
        <f t="shared" si="37"/>
        <v>4832</v>
      </c>
      <c r="J36" s="146">
        <f t="shared" si="5"/>
        <v>0</v>
      </c>
      <c r="K36" s="146">
        <f>I36</f>
        <v>4832</v>
      </c>
      <c r="L36" s="150"/>
      <c r="M36" s="279"/>
      <c r="N36" s="279"/>
      <c r="U36" s="279">
        <f>H36</f>
        <v>195868</v>
      </c>
    </row>
    <row r="37" spans="1:24" s="280" customFormat="1" ht="31.5" x14ac:dyDescent="0.25">
      <c r="A37" s="153" t="s">
        <v>174</v>
      </c>
      <c r="B37" s="152" t="s">
        <v>309</v>
      </c>
      <c r="C37" s="151"/>
      <c r="D37" s="146"/>
      <c r="E37" s="146"/>
      <c r="F37" s="146">
        <v>1347.5</v>
      </c>
      <c r="G37" s="146">
        <f t="shared" si="36"/>
        <v>1347.5</v>
      </c>
      <c r="H37" s="146"/>
      <c r="I37" s="146">
        <f t="shared" si="37"/>
        <v>1347.5</v>
      </c>
      <c r="J37" s="146">
        <f t="shared" si="5"/>
        <v>1347.5</v>
      </c>
      <c r="K37" s="146"/>
      <c r="L37" s="150"/>
      <c r="M37" s="279"/>
      <c r="N37" s="279"/>
      <c r="X37" s="279">
        <f>H37</f>
        <v>0</v>
      </c>
    </row>
    <row r="38" spans="1:24" s="278" customFormat="1" x14ac:dyDescent="0.25">
      <c r="A38" s="147">
        <v>9</v>
      </c>
      <c r="B38" s="283" t="s">
        <v>194</v>
      </c>
      <c r="C38" s="148" t="s">
        <v>186</v>
      </c>
      <c r="D38" s="149">
        <f t="shared" ref="D38:K38" si="38">SUM(D39:D41)</f>
        <v>0</v>
      </c>
      <c r="E38" s="149">
        <f t="shared" si="38"/>
        <v>55080</v>
      </c>
      <c r="F38" s="149">
        <f t="shared" si="38"/>
        <v>1050</v>
      </c>
      <c r="G38" s="149">
        <f t="shared" si="38"/>
        <v>56130</v>
      </c>
      <c r="H38" s="149">
        <f t="shared" si="38"/>
        <v>46157</v>
      </c>
      <c r="I38" s="149">
        <f t="shared" si="38"/>
        <v>9973</v>
      </c>
      <c r="J38" s="149">
        <f t="shared" si="38"/>
        <v>9973</v>
      </c>
      <c r="K38" s="149">
        <f t="shared" si="38"/>
        <v>0</v>
      </c>
      <c r="L38" s="147"/>
      <c r="M38" s="277">
        <v>56130</v>
      </c>
      <c r="N38" s="277">
        <v>46157</v>
      </c>
      <c r="O38" s="277">
        <f>G38-SUM(D38:F38)</f>
        <v>0</v>
      </c>
      <c r="P38" s="277">
        <f>G38-H38-I38</f>
        <v>0</v>
      </c>
      <c r="Q38" s="277">
        <f>I38-J38-K38</f>
        <v>0</v>
      </c>
      <c r="R38" s="277">
        <v>46157</v>
      </c>
      <c r="S38" s="277">
        <v>46157</v>
      </c>
      <c r="T38" s="277">
        <v>46157</v>
      </c>
      <c r="U38" s="277">
        <v>46157</v>
      </c>
      <c r="V38" s="277">
        <v>46157</v>
      </c>
      <c r="W38" s="277">
        <v>46157</v>
      </c>
      <c r="X38" s="277">
        <v>46157</v>
      </c>
    </row>
    <row r="39" spans="1:24" s="280" customFormat="1" x14ac:dyDescent="0.25">
      <c r="A39" s="153" t="s">
        <v>174</v>
      </c>
      <c r="B39" s="152" t="s">
        <v>183</v>
      </c>
      <c r="C39" s="151"/>
      <c r="D39" s="146"/>
      <c r="E39" s="146">
        <v>10080</v>
      </c>
      <c r="F39" s="146"/>
      <c r="G39" s="146">
        <f t="shared" ref="G39:G41" si="39">SUM(D39:F39)</f>
        <v>10080</v>
      </c>
      <c r="H39" s="146">
        <v>2240</v>
      </c>
      <c r="I39" s="146">
        <f t="shared" ref="I39:I41" si="40">G39-H39</f>
        <v>7840</v>
      </c>
      <c r="J39" s="146">
        <f t="shared" si="5"/>
        <v>7840</v>
      </c>
      <c r="K39" s="146"/>
      <c r="L39" s="150"/>
      <c r="M39" s="279">
        <f>G38-M38</f>
        <v>0</v>
      </c>
      <c r="N39" s="279">
        <f>H38-N38</f>
        <v>0</v>
      </c>
      <c r="S39" s="279">
        <f>H39</f>
        <v>2240</v>
      </c>
    </row>
    <row r="40" spans="1:24" s="280" customFormat="1" x14ac:dyDescent="0.25">
      <c r="A40" s="153" t="s">
        <v>174</v>
      </c>
      <c r="B40" s="152" t="s">
        <v>184</v>
      </c>
      <c r="C40" s="151"/>
      <c r="D40" s="146"/>
      <c r="E40" s="146">
        <v>45000</v>
      </c>
      <c r="F40" s="146"/>
      <c r="G40" s="146">
        <f t="shared" si="39"/>
        <v>45000</v>
      </c>
      <c r="H40" s="146">
        <v>43917</v>
      </c>
      <c r="I40" s="146">
        <f t="shared" si="40"/>
        <v>1083</v>
      </c>
      <c r="J40" s="146">
        <f t="shared" si="5"/>
        <v>1083</v>
      </c>
      <c r="K40" s="146"/>
      <c r="L40" s="150"/>
      <c r="M40" s="279"/>
      <c r="N40" s="279"/>
      <c r="U40" s="279">
        <f>H40</f>
        <v>43917</v>
      </c>
    </row>
    <row r="41" spans="1:24" s="280" customFormat="1" ht="31.5" x14ac:dyDescent="0.25">
      <c r="A41" s="153" t="s">
        <v>174</v>
      </c>
      <c r="B41" s="152" t="s">
        <v>309</v>
      </c>
      <c r="C41" s="151"/>
      <c r="D41" s="146"/>
      <c r="E41" s="146"/>
      <c r="F41" s="146">
        <v>1050</v>
      </c>
      <c r="G41" s="146">
        <f t="shared" si="39"/>
        <v>1050</v>
      </c>
      <c r="H41" s="146"/>
      <c r="I41" s="146">
        <f t="shared" si="40"/>
        <v>1050</v>
      </c>
      <c r="J41" s="146">
        <f t="shared" si="5"/>
        <v>1050</v>
      </c>
      <c r="K41" s="146"/>
      <c r="L41" s="150"/>
      <c r="M41" s="279"/>
      <c r="N41" s="279"/>
      <c r="X41" s="279">
        <f>H41</f>
        <v>0</v>
      </c>
    </row>
    <row r="42" spans="1:24" s="278" customFormat="1" x14ac:dyDescent="0.25">
      <c r="A42" s="147">
        <v>10</v>
      </c>
      <c r="B42" s="283" t="s">
        <v>195</v>
      </c>
      <c r="C42" s="148" t="s">
        <v>186</v>
      </c>
      <c r="D42" s="149">
        <f t="shared" ref="D42:K42" si="41">SUM(D43:D44)</f>
        <v>0</v>
      </c>
      <c r="E42" s="149">
        <f t="shared" si="41"/>
        <v>141340</v>
      </c>
      <c r="F42" s="149">
        <f t="shared" si="41"/>
        <v>0</v>
      </c>
      <c r="G42" s="149">
        <f t="shared" si="41"/>
        <v>141340</v>
      </c>
      <c r="H42" s="149">
        <f t="shared" si="41"/>
        <v>129505</v>
      </c>
      <c r="I42" s="149">
        <f t="shared" si="41"/>
        <v>11835</v>
      </c>
      <c r="J42" s="149">
        <f t="shared" si="41"/>
        <v>8640</v>
      </c>
      <c r="K42" s="149">
        <f t="shared" si="41"/>
        <v>3195</v>
      </c>
      <c r="L42" s="147"/>
      <c r="M42" s="277">
        <v>141340</v>
      </c>
      <c r="N42" s="277">
        <v>129505</v>
      </c>
      <c r="O42" s="277">
        <f>G42-SUM(D42:F42)</f>
        <v>0</v>
      </c>
      <c r="P42" s="277">
        <f>G42-H42-I42</f>
        <v>0</v>
      </c>
      <c r="Q42" s="277">
        <f>I42-J42-K42</f>
        <v>0</v>
      </c>
    </row>
    <row r="43" spans="1:24" s="280" customFormat="1" x14ac:dyDescent="0.25">
      <c r="A43" s="153" t="s">
        <v>174</v>
      </c>
      <c r="B43" s="152" t="s">
        <v>183</v>
      </c>
      <c r="C43" s="151"/>
      <c r="D43" s="146"/>
      <c r="E43" s="146">
        <v>8640</v>
      </c>
      <c r="F43" s="146"/>
      <c r="G43" s="146">
        <f t="shared" ref="G43:G44" si="42">SUM(D43:F43)</f>
        <v>8640</v>
      </c>
      <c r="H43" s="146"/>
      <c r="I43" s="146">
        <f t="shared" ref="I43:I44" si="43">G43-H43</f>
        <v>8640</v>
      </c>
      <c r="J43" s="146">
        <f t="shared" ref="J43:J69" si="44">I43-K43</f>
        <v>8640</v>
      </c>
      <c r="K43" s="146"/>
      <c r="L43" s="150"/>
      <c r="M43" s="279">
        <f>G42-M42</f>
        <v>0</v>
      </c>
      <c r="N43" s="279">
        <f>H42-N42</f>
        <v>0</v>
      </c>
    </row>
    <row r="44" spans="1:24" s="280" customFormat="1" x14ac:dyDescent="0.25">
      <c r="A44" s="153" t="s">
        <v>174</v>
      </c>
      <c r="B44" s="152" t="s">
        <v>184</v>
      </c>
      <c r="C44" s="151"/>
      <c r="D44" s="146"/>
      <c r="E44" s="146">
        <v>132700</v>
      </c>
      <c r="F44" s="146"/>
      <c r="G44" s="146">
        <f t="shared" si="42"/>
        <v>132700</v>
      </c>
      <c r="H44" s="146">
        <v>129505</v>
      </c>
      <c r="I44" s="146">
        <f t="shared" si="43"/>
        <v>3195</v>
      </c>
      <c r="J44" s="146">
        <f t="shared" si="44"/>
        <v>0</v>
      </c>
      <c r="K44" s="146">
        <f>I44</f>
        <v>3195</v>
      </c>
      <c r="L44" s="150"/>
      <c r="M44" s="279"/>
      <c r="N44" s="279"/>
    </row>
    <row r="45" spans="1:24" s="278" customFormat="1" x14ac:dyDescent="0.25">
      <c r="A45" s="147">
        <v>11</v>
      </c>
      <c r="B45" s="283" t="s">
        <v>196</v>
      </c>
      <c r="C45" s="148" t="s">
        <v>186</v>
      </c>
      <c r="D45" s="149">
        <f t="shared" ref="D45:K45" si="45">SUM(D46:D50)</f>
        <v>0</v>
      </c>
      <c r="E45" s="149">
        <f t="shared" si="45"/>
        <v>586050</v>
      </c>
      <c r="F45" s="149">
        <f t="shared" si="45"/>
        <v>29875</v>
      </c>
      <c r="G45" s="149">
        <f t="shared" si="45"/>
        <v>615925</v>
      </c>
      <c r="H45" s="149">
        <f t="shared" si="45"/>
        <v>505219</v>
      </c>
      <c r="I45" s="149">
        <f t="shared" si="45"/>
        <v>110706</v>
      </c>
      <c r="J45" s="149">
        <f t="shared" si="45"/>
        <v>6492</v>
      </c>
      <c r="K45" s="149">
        <f t="shared" si="45"/>
        <v>104214</v>
      </c>
      <c r="L45" s="147"/>
      <c r="M45" s="277">
        <v>615925</v>
      </c>
      <c r="N45" s="277">
        <v>505219</v>
      </c>
      <c r="O45" s="277">
        <f>G45-SUM(D45:F45)</f>
        <v>0</v>
      </c>
      <c r="P45" s="277">
        <f>G45-H45-I45</f>
        <v>0</v>
      </c>
      <c r="Q45" s="277">
        <f>I45-J45-K45</f>
        <v>0</v>
      </c>
    </row>
    <row r="46" spans="1:24" s="280" customFormat="1" x14ac:dyDescent="0.25">
      <c r="A46" s="153" t="s">
        <v>174</v>
      </c>
      <c r="B46" s="152" t="s">
        <v>183</v>
      </c>
      <c r="C46" s="151"/>
      <c r="D46" s="146"/>
      <c r="E46" s="146">
        <v>7200</v>
      </c>
      <c r="F46" s="146"/>
      <c r="G46" s="146">
        <f t="shared" ref="G46:G50" si="46">SUM(D46:F46)</f>
        <v>7200</v>
      </c>
      <c r="H46" s="146">
        <v>4800</v>
      </c>
      <c r="I46" s="146">
        <f t="shared" ref="I46:I50" si="47">G46-H46</f>
        <v>2400</v>
      </c>
      <c r="J46" s="146">
        <f t="shared" si="44"/>
        <v>2400</v>
      </c>
      <c r="K46" s="146"/>
      <c r="L46" s="150"/>
      <c r="M46" s="279">
        <f>G45-M45</f>
        <v>0</v>
      </c>
      <c r="N46" s="279">
        <f>H45-N45</f>
        <v>0</v>
      </c>
    </row>
    <row r="47" spans="1:24" s="280" customFormat="1" x14ac:dyDescent="0.25">
      <c r="A47" s="153" t="s">
        <v>174</v>
      </c>
      <c r="B47" s="152" t="s">
        <v>184</v>
      </c>
      <c r="C47" s="151"/>
      <c r="D47" s="146"/>
      <c r="E47" s="146">
        <v>133600</v>
      </c>
      <c r="F47" s="146"/>
      <c r="G47" s="146">
        <f t="shared" si="46"/>
        <v>133600</v>
      </c>
      <c r="H47" s="146">
        <v>130383</v>
      </c>
      <c r="I47" s="146">
        <f t="shared" si="47"/>
        <v>3217</v>
      </c>
      <c r="J47" s="146">
        <f t="shared" si="44"/>
        <v>3217</v>
      </c>
      <c r="K47" s="146"/>
      <c r="L47" s="150"/>
      <c r="M47" s="279"/>
      <c r="N47" s="279"/>
    </row>
    <row r="48" spans="1:24" s="280" customFormat="1" x14ac:dyDescent="0.25">
      <c r="A48" s="153" t="s">
        <v>174</v>
      </c>
      <c r="B48" s="152" t="s">
        <v>185</v>
      </c>
      <c r="C48" s="151"/>
      <c r="D48" s="146"/>
      <c r="E48" s="146">
        <v>445250</v>
      </c>
      <c r="F48" s="146"/>
      <c r="G48" s="146">
        <f t="shared" si="46"/>
        <v>445250</v>
      </c>
      <c r="H48" s="146">
        <v>341036</v>
      </c>
      <c r="I48" s="146">
        <f t="shared" si="47"/>
        <v>104214</v>
      </c>
      <c r="J48" s="146">
        <f t="shared" si="44"/>
        <v>0</v>
      </c>
      <c r="K48" s="146">
        <f>I48</f>
        <v>104214</v>
      </c>
      <c r="L48" s="150"/>
      <c r="M48" s="279"/>
      <c r="N48" s="279"/>
    </row>
    <row r="49" spans="1:17" s="280" customFormat="1" ht="31.5" x14ac:dyDescent="0.25">
      <c r="A49" s="153" t="s">
        <v>174</v>
      </c>
      <c r="B49" s="152" t="s">
        <v>625</v>
      </c>
      <c r="C49" s="151"/>
      <c r="D49" s="146"/>
      <c r="E49" s="146"/>
      <c r="F49" s="146">
        <v>29000</v>
      </c>
      <c r="G49" s="146">
        <f t="shared" ref="G49" si="48">SUM(D49:F49)</f>
        <v>29000</v>
      </c>
      <c r="H49" s="146">
        <f>G49</f>
        <v>29000</v>
      </c>
      <c r="I49" s="146">
        <f t="shared" ref="I49" si="49">G49-H49</f>
        <v>0</v>
      </c>
      <c r="J49" s="146">
        <f t="shared" ref="J49" si="50">I49-K49</f>
        <v>0</v>
      </c>
      <c r="K49" s="146"/>
      <c r="L49" s="150"/>
      <c r="M49" s="279"/>
      <c r="N49" s="279"/>
    </row>
    <row r="50" spans="1:17" s="280" customFormat="1" ht="31.5" x14ac:dyDescent="0.25">
      <c r="A50" s="153" t="s">
        <v>174</v>
      </c>
      <c r="B50" s="152" t="s">
        <v>309</v>
      </c>
      <c r="C50" s="151"/>
      <c r="D50" s="146"/>
      <c r="E50" s="146"/>
      <c r="F50" s="146">
        <v>875</v>
      </c>
      <c r="G50" s="146">
        <f t="shared" si="46"/>
        <v>875</v>
      </c>
      <c r="H50" s="146"/>
      <c r="I50" s="146">
        <f t="shared" si="47"/>
        <v>875</v>
      </c>
      <c r="J50" s="146">
        <f t="shared" si="44"/>
        <v>875</v>
      </c>
      <c r="K50" s="146"/>
      <c r="L50" s="150"/>
      <c r="M50" s="279"/>
      <c r="N50" s="279"/>
    </row>
    <row r="51" spans="1:17" s="278" customFormat="1" x14ac:dyDescent="0.25">
      <c r="A51" s="147">
        <v>12</v>
      </c>
      <c r="B51" s="283" t="s">
        <v>197</v>
      </c>
      <c r="C51" s="148" t="s">
        <v>186</v>
      </c>
      <c r="D51" s="149">
        <f t="shared" ref="D51:K51" si="51">SUM(D52:D52)</f>
        <v>0</v>
      </c>
      <c r="E51" s="149">
        <f t="shared" si="51"/>
        <v>14400</v>
      </c>
      <c r="F51" s="149">
        <f t="shared" si="51"/>
        <v>0</v>
      </c>
      <c r="G51" s="149">
        <f t="shared" si="51"/>
        <v>14400</v>
      </c>
      <c r="H51" s="149">
        <f t="shared" si="51"/>
        <v>1600</v>
      </c>
      <c r="I51" s="149">
        <f t="shared" si="51"/>
        <v>12800</v>
      </c>
      <c r="J51" s="149">
        <f t="shared" si="51"/>
        <v>12800</v>
      </c>
      <c r="K51" s="149">
        <f t="shared" si="51"/>
        <v>0</v>
      </c>
      <c r="L51" s="147"/>
      <c r="M51" s="277">
        <v>14400</v>
      </c>
      <c r="N51" s="277">
        <v>1600</v>
      </c>
      <c r="O51" s="277">
        <f>G51-SUM(D51:F51)</f>
        <v>0</v>
      </c>
      <c r="P51" s="277">
        <f>G51-H51-I51</f>
        <v>0</v>
      </c>
      <c r="Q51" s="277">
        <f>I51-J51-K51</f>
        <v>0</v>
      </c>
    </row>
    <row r="52" spans="1:17" s="280" customFormat="1" x14ac:dyDescent="0.25">
      <c r="A52" s="153" t="s">
        <v>174</v>
      </c>
      <c r="B52" s="152" t="s">
        <v>183</v>
      </c>
      <c r="C52" s="151"/>
      <c r="D52" s="146"/>
      <c r="E52" s="146">
        <v>14400</v>
      </c>
      <c r="F52" s="146"/>
      <c r="G52" s="146">
        <f t="shared" ref="G52" si="52">SUM(D52:F52)</f>
        <v>14400</v>
      </c>
      <c r="H52" s="146">
        <v>1600</v>
      </c>
      <c r="I52" s="146">
        <f t="shared" ref="I52" si="53">G52-H52</f>
        <v>12800</v>
      </c>
      <c r="J52" s="146">
        <f t="shared" si="44"/>
        <v>12800</v>
      </c>
      <c r="K52" s="146"/>
      <c r="L52" s="150"/>
      <c r="M52" s="279">
        <f>G51-M51</f>
        <v>0</v>
      </c>
      <c r="N52" s="279">
        <f>H51-N51</f>
        <v>0</v>
      </c>
    </row>
    <row r="53" spans="1:17" s="278" customFormat="1" x14ac:dyDescent="0.25">
      <c r="A53" s="147">
        <v>13</v>
      </c>
      <c r="B53" s="283" t="s">
        <v>198</v>
      </c>
      <c r="C53" s="148" t="s">
        <v>186</v>
      </c>
      <c r="D53" s="149">
        <f t="shared" ref="D53:K53" si="54">SUM(D54:D56)</f>
        <v>0</v>
      </c>
      <c r="E53" s="149">
        <f t="shared" si="54"/>
        <v>165520</v>
      </c>
      <c r="F53" s="149">
        <f t="shared" si="54"/>
        <v>770</v>
      </c>
      <c r="G53" s="149">
        <f t="shared" si="54"/>
        <v>166290</v>
      </c>
      <c r="H53" s="149">
        <f t="shared" si="54"/>
        <v>153492</v>
      </c>
      <c r="I53" s="149">
        <f t="shared" si="54"/>
        <v>12798</v>
      </c>
      <c r="J53" s="149">
        <f t="shared" si="54"/>
        <v>9090</v>
      </c>
      <c r="K53" s="149">
        <f t="shared" si="54"/>
        <v>3708</v>
      </c>
      <c r="L53" s="147"/>
      <c r="M53" s="277">
        <v>166290</v>
      </c>
      <c r="N53" s="277">
        <v>153492</v>
      </c>
      <c r="O53" s="277">
        <f>G53-SUM(D53:F53)</f>
        <v>0</v>
      </c>
      <c r="P53" s="277">
        <f>G53-H53-I53</f>
        <v>0</v>
      </c>
      <c r="Q53" s="277">
        <f>I53-J53-K53</f>
        <v>0</v>
      </c>
    </row>
    <row r="54" spans="1:17" s="280" customFormat="1" x14ac:dyDescent="0.25">
      <c r="A54" s="153" t="s">
        <v>174</v>
      </c>
      <c r="B54" s="152" t="s">
        <v>183</v>
      </c>
      <c r="C54" s="151"/>
      <c r="D54" s="146"/>
      <c r="E54" s="146">
        <v>11520</v>
      </c>
      <c r="F54" s="146"/>
      <c r="G54" s="146">
        <f t="shared" ref="G54:G55" si="55">SUM(D54:F54)</f>
        <v>11520</v>
      </c>
      <c r="H54" s="146">
        <v>3200</v>
      </c>
      <c r="I54" s="146">
        <f t="shared" ref="I54:I55" si="56">G54-H54</f>
        <v>8320</v>
      </c>
      <c r="J54" s="146">
        <f t="shared" si="44"/>
        <v>8320</v>
      </c>
      <c r="K54" s="146"/>
      <c r="L54" s="150"/>
      <c r="M54" s="279">
        <f>G53-M53</f>
        <v>0</v>
      </c>
      <c r="N54" s="279">
        <f>H53-N53</f>
        <v>0</v>
      </c>
    </row>
    <row r="55" spans="1:17" s="280" customFormat="1" x14ac:dyDescent="0.25">
      <c r="A55" s="153" t="s">
        <v>174</v>
      </c>
      <c r="B55" s="152" t="s">
        <v>184</v>
      </c>
      <c r="C55" s="151"/>
      <c r="D55" s="146"/>
      <c r="E55" s="146">
        <v>154000</v>
      </c>
      <c r="F55" s="146"/>
      <c r="G55" s="146">
        <f t="shared" si="55"/>
        <v>154000</v>
      </c>
      <c r="H55" s="146">
        <v>150292</v>
      </c>
      <c r="I55" s="146">
        <f t="shared" si="56"/>
        <v>3708</v>
      </c>
      <c r="J55" s="146">
        <f t="shared" si="44"/>
        <v>0</v>
      </c>
      <c r="K55" s="146">
        <f>I55</f>
        <v>3708</v>
      </c>
      <c r="L55" s="150"/>
      <c r="M55" s="279"/>
      <c r="N55" s="279"/>
    </row>
    <row r="56" spans="1:17" s="280" customFormat="1" ht="31.5" x14ac:dyDescent="0.25">
      <c r="A56" s="153" t="s">
        <v>174</v>
      </c>
      <c r="B56" s="152" t="s">
        <v>309</v>
      </c>
      <c r="C56" s="151"/>
      <c r="D56" s="146"/>
      <c r="E56" s="146"/>
      <c r="F56" s="146">
        <v>770</v>
      </c>
      <c r="G56" s="146">
        <f t="shared" ref="G56" si="57">SUM(D56:F56)</f>
        <v>770</v>
      </c>
      <c r="H56" s="146"/>
      <c r="I56" s="146">
        <f t="shared" ref="I56" si="58">G56-H56</f>
        <v>770</v>
      </c>
      <c r="J56" s="146">
        <f t="shared" si="44"/>
        <v>770</v>
      </c>
      <c r="K56" s="146"/>
      <c r="L56" s="150"/>
      <c r="M56" s="279"/>
      <c r="N56" s="279"/>
    </row>
    <row r="57" spans="1:17" s="278" customFormat="1" x14ac:dyDescent="0.25">
      <c r="A57" s="147">
        <v>14</v>
      </c>
      <c r="B57" s="283" t="s">
        <v>199</v>
      </c>
      <c r="C57" s="148" t="s">
        <v>186</v>
      </c>
      <c r="D57" s="149">
        <f t="shared" ref="D57:K57" si="59">SUM(D58:D60)</f>
        <v>0</v>
      </c>
      <c r="E57" s="149">
        <f t="shared" si="59"/>
        <v>151640</v>
      </c>
      <c r="F57" s="149">
        <f t="shared" si="59"/>
        <v>630</v>
      </c>
      <c r="G57" s="149">
        <f t="shared" si="59"/>
        <v>152270</v>
      </c>
      <c r="H57" s="149">
        <f t="shared" si="59"/>
        <v>141957</v>
      </c>
      <c r="I57" s="149">
        <f t="shared" si="59"/>
        <v>10313</v>
      </c>
      <c r="J57" s="149">
        <f t="shared" si="59"/>
        <v>6870</v>
      </c>
      <c r="K57" s="149">
        <f t="shared" si="59"/>
        <v>3443</v>
      </c>
      <c r="L57" s="147"/>
      <c r="M57" s="277">
        <v>152270</v>
      </c>
      <c r="N57" s="277">
        <v>141957</v>
      </c>
      <c r="O57" s="277">
        <f>G57-SUM(D57:F57)</f>
        <v>0</v>
      </c>
      <c r="P57" s="277">
        <f>G57-H57-I57</f>
        <v>0</v>
      </c>
      <c r="Q57" s="277">
        <f>I57-J57-K57</f>
        <v>0</v>
      </c>
    </row>
    <row r="58" spans="1:17" s="280" customFormat="1" x14ac:dyDescent="0.25">
      <c r="A58" s="153" t="s">
        <v>174</v>
      </c>
      <c r="B58" s="152" t="s">
        <v>183</v>
      </c>
      <c r="C58" s="151"/>
      <c r="D58" s="146"/>
      <c r="E58" s="146">
        <v>8640</v>
      </c>
      <c r="F58" s="146"/>
      <c r="G58" s="146">
        <f t="shared" ref="G58:G60" si="60">SUM(D58:F58)</f>
        <v>8640</v>
      </c>
      <c r="H58" s="146">
        <v>2400</v>
      </c>
      <c r="I58" s="146">
        <f t="shared" ref="I58:I60" si="61">G58-H58</f>
        <v>6240</v>
      </c>
      <c r="J58" s="146">
        <f t="shared" si="44"/>
        <v>6240</v>
      </c>
      <c r="K58" s="146"/>
      <c r="L58" s="150"/>
      <c r="M58" s="279">
        <f>G57-M57</f>
        <v>0</v>
      </c>
      <c r="N58" s="279">
        <f>H57-N57</f>
        <v>0</v>
      </c>
    </row>
    <row r="59" spans="1:17" s="280" customFormat="1" x14ac:dyDescent="0.25">
      <c r="A59" s="153" t="s">
        <v>174</v>
      </c>
      <c r="B59" s="152" t="s">
        <v>184</v>
      </c>
      <c r="C59" s="151"/>
      <c r="D59" s="146"/>
      <c r="E59" s="146">
        <v>143000</v>
      </c>
      <c r="F59" s="146"/>
      <c r="G59" s="146">
        <f t="shared" si="60"/>
        <v>143000</v>
      </c>
      <c r="H59" s="146">
        <v>139557</v>
      </c>
      <c r="I59" s="146">
        <f t="shared" si="61"/>
        <v>3443</v>
      </c>
      <c r="J59" s="146">
        <f t="shared" si="44"/>
        <v>0</v>
      </c>
      <c r="K59" s="146">
        <f>I59</f>
        <v>3443</v>
      </c>
      <c r="L59" s="150"/>
      <c r="M59" s="279"/>
      <c r="N59" s="279"/>
    </row>
    <row r="60" spans="1:17" s="280" customFormat="1" ht="31.5" x14ac:dyDescent="0.25">
      <c r="A60" s="153" t="s">
        <v>174</v>
      </c>
      <c r="B60" s="152" t="s">
        <v>309</v>
      </c>
      <c r="C60" s="151"/>
      <c r="D60" s="146"/>
      <c r="E60" s="146"/>
      <c r="F60" s="146">
        <v>630</v>
      </c>
      <c r="G60" s="146">
        <f t="shared" si="60"/>
        <v>630</v>
      </c>
      <c r="H60" s="146"/>
      <c r="I60" s="146">
        <f t="shared" si="61"/>
        <v>630</v>
      </c>
      <c r="J60" s="146">
        <f t="shared" si="44"/>
        <v>630</v>
      </c>
      <c r="K60" s="146"/>
      <c r="L60" s="150"/>
      <c r="M60" s="279"/>
      <c r="N60" s="279"/>
    </row>
    <row r="61" spans="1:17" s="278" customFormat="1" x14ac:dyDescent="0.25">
      <c r="A61" s="147">
        <v>15</v>
      </c>
      <c r="B61" s="283" t="s">
        <v>308</v>
      </c>
      <c r="C61" s="148" t="s">
        <v>200</v>
      </c>
      <c r="D61" s="149">
        <f t="shared" ref="D61:K61" si="62">SUM(D62:D65)</f>
        <v>0</v>
      </c>
      <c r="E61" s="149">
        <f t="shared" si="62"/>
        <v>548700</v>
      </c>
      <c r="F61" s="149">
        <f t="shared" si="62"/>
        <v>289003</v>
      </c>
      <c r="G61" s="149">
        <f t="shared" si="62"/>
        <v>837703</v>
      </c>
      <c r="H61" s="149">
        <f t="shared" si="62"/>
        <v>795757</v>
      </c>
      <c r="I61" s="149">
        <f t="shared" si="62"/>
        <v>41946</v>
      </c>
      <c r="J61" s="149">
        <f t="shared" si="62"/>
        <v>32132</v>
      </c>
      <c r="K61" s="149">
        <f t="shared" si="62"/>
        <v>9814</v>
      </c>
      <c r="L61" s="147"/>
      <c r="M61" s="277">
        <v>837703</v>
      </c>
      <c r="N61" s="277">
        <v>795757</v>
      </c>
      <c r="O61" s="277">
        <f>G61-SUM(D61:F61)</f>
        <v>0</v>
      </c>
      <c r="P61" s="277">
        <f>G61-H61-I61</f>
        <v>0</v>
      </c>
      <c r="Q61" s="277">
        <f>I61-J61-K61</f>
        <v>0</v>
      </c>
    </row>
    <row r="62" spans="1:17" s="280" customFormat="1" ht="31.5" x14ac:dyDescent="0.25">
      <c r="A62" s="153" t="s">
        <v>174</v>
      </c>
      <c r="B62" s="152" t="s">
        <v>595</v>
      </c>
      <c r="C62" s="151"/>
      <c r="D62" s="146"/>
      <c r="E62" s="146">
        <v>52400</v>
      </c>
      <c r="F62" s="146"/>
      <c r="G62" s="146">
        <f t="shared" ref="G62:G64" si="63">SUM(D62:F62)</f>
        <v>52400</v>
      </c>
      <c r="H62" s="146">
        <v>20268</v>
      </c>
      <c r="I62" s="146">
        <f t="shared" ref="I62" si="64">G62-H62</f>
        <v>32132</v>
      </c>
      <c r="J62" s="146">
        <f t="shared" si="44"/>
        <v>32132</v>
      </c>
      <c r="K62" s="146"/>
      <c r="L62" s="150"/>
      <c r="M62" s="279">
        <f>G61-M61</f>
        <v>0</v>
      </c>
      <c r="N62" s="279">
        <f>H61-N61</f>
        <v>0</v>
      </c>
    </row>
    <row r="63" spans="1:17" s="280" customFormat="1" x14ac:dyDescent="0.25">
      <c r="A63" s="153" t="s">
        <v>174</v>
      </c>
      <c r="B63" s="152" t="s">
        <v>184</v>
      </c>
      <c r="C63" s="151"/>
      <c r="D63" s="146"/>
      <c r="E63" s="146">
        <v>407700</v>
      </c>
      <c r="F63" s="146"/>
      <c r="G63" s="146">
        <f t="shared" si="63"/>
        <v>407700</v>
      </c>
      <c r="H63" s="146">
        <v>397886</v>
      </c>
      <c r="I63" s="146">
        <f t="shared" ref="I63:I64" si="65">G63-H63</f>
        <v>9814</v>
      </c>
      <c r="J63" s="146">
        <f t="shared" si="44"/>
        <v>0</v>
      </c>
      <c r="K63" s="146">
        <f>I63</f>
        <v>9814</v>
      </c>
      <c r="L63" s="150"/>
      <c r="M63" s="279"/>
      <c r="N63" s="279"/>
    </row>
    <row r="64" spans="1:17" s="280" customFormat="1" x14ac:dyDescent="0.25">
      <c r="A64" s="153" t="s">
        <v>174</v>
      </c>
      <c r="B64" s="152" t="s">
        <v>185</v>
      </c>
      <c r="C64" s="151"/>
      <c r="D64" s="146"/>
      <c r="E64" s="146">
        <v>88600</v>
      </c>
      <c r="F64" s="146"/>
      <c r="G64" s="146">
        <f t="shared" si="63"/>
        <v>88600</v>
      </c>
      <c r="H64" s="146">
        <v>88600</v>
      </c>
      <c r="I64" s="146">
        <f t="shared" si="65"/>
        <v>0</v>
      </c>
      <c r="J64" s="146">
        <f t="shared" si="44"/>
        <v>0</v>
      </c>
      <c r="K64" s="146"/>
      <c r="L64" s="150"/>
      <c r="M64" s="279"/>
      <c r="N64" s="279"/>
    </row>
    <row r="65" spans="1:17" s="280" customFormat="1" ht="31.5" x14ac:dyDescent="0.25">
      <c r="A65" s="153" t="s">
        <v>174</v>
      </c>
      <c r="B65" s="152" t="s">
        <v>599</v>
      </c>
      <c r="C65" s="151"/>
      <c r="D65" s="146"/>
      <c r="E65" s="146"/>
      <c r="F65" s="146">
        <v>289003</v>
      </c>
      <c r="G65" s="146">
        <f t="shared" ref="G65" si="66">SUM(D65:F65)</f>
        <v>289003</v>
      </c>
      <c r="H65" s="146">
        <v>289003</v>
      </c>
      <c r="I65" s="146">
        <f t="shared" ref="I65" si="67">G65-H65</f>
        <v>0</v>
      </c>
      <c r="J65" s="146">
        <f t="shared" ref="J65" si="68">I65-K65</f>
        <v>0</v>
      </c>
      <c r="K65" s="146"/>
      <c r="L65" s="150"/>
      <c r="M65" s="279"/>
      <c r="N65" s="279"/>
    </row>
    <row r="66" spans="1:17" s="278" customFormat="1" x14ac:dyDescent="0.25">
      <c r="A66" s="147">
        <v>16</v>
      </c>
      <c r="B66" s="283" t="s">
        <v>201</v>
      </c>
      <c r="C66" s="148" t="s">
        <v>200</v>
      </c>
      <c r="D66" s="149">
        <f t="shared" ref="D66:K66" si="69">SUM(D67:D67)</f>
        <v>0</v>
      </c>
      <c r="E66" s="149">
        <f t="shared" si="69"/>
        <v>15620</v>
      </c>
      <c r="F66" s="149">
        <f t="shared" si="69"/>
        <v>0</v>
      </c>
      <c r="G66" s="149">
        <f t="shared" si="69"/>
        <v>15620</v>
      </c>
      <c r="H66" s="149">
        <f t="shared" si="69"/>
        <v>6300</v>
      </c>
      <c r="I66" s="149">
        <f t="shared" si="69"/>
        <v>9320</v>
      </c>
      <c r="J66" s="149">
        <f t="shared" si="69"/>
        <v>9320</v>
      </c>
      <c r="K66" s="149">
        <f t="shared" si="69"/>
        <v>0</v>
      </c>
      <c r="L66" s="147"/>
      <c r="M66" s="277">
        <v>15620</v>
      </c>
      <c r="N66" s="277">
        <v>6300</v>
      </c>
      <c r="O66" s="277">
        <f>G66-SUM(D66:F66)</f>
        <v>0</v>
      </c>
      <c r="P66" s="277">
        <f>G66-H66-I66</f>
        <v>0</v>
      </c>
      <c r="Q66" s="277">
        <f>I66-J66-K66</f>
        <v>0</v>
      </c>
    </row>
    <row r="67" spans="1:17" s="280" customFormat="1" ht="31.5" x14ac:dyDescent="0.25">
      <c r="A67" s="153" t="s">
        <v>174</v>
      </c>
      <c r="B67" s="152" t="s">
        <v>595</v>
      </c>
      <c r="C67" s="151"/>
      <c r="D67" s="146"/>
      <c r="E67" s="146">
        <v>15620</v>
      </c>
      <c r="F67" s="146"/>
      <c r="G67" s="146">
        <f t="shared" ref="G67" si="70">SUM(D67:F67)</f>
        <v>15620</v>
      </c>
      <c r="H67" s="146">
        <v>6300</v>
      </c>
      <c r="I67" s="146">
        <f t="shared" ref="I67" si="71">G67-H67</f>
        <v>9320</v>
      </c>
      <c r="J67" s="146">
        <f t="shared" si="44"/>
        <v>9320</v>
      </c>
      <c r="K67" s="146"/>
      <c r="L67" s="150"/>
      <c r="M67" s="279">
        <f>G66-M66</f>
        <v>0</v>
      </c>
      <c r="N67" s="279">
        <f>H66-N66</f>
        <v>0</v>
      </c>
    </row>
    <row r="68" spans="1:17" s="278" customFormat="1" x14ac:dyDescent="0.25">
      <c r="A68" s="147">
        <v>17</v>
      </c>
      <c r="B68" s="283" t="s">
        <v>202</v>
      </c>
      <c r="C68" s="148" t="s">
        <v>200</v>
      </c>
      <c r="D68" s="149">
        <f t="shared" ref="D68:K68" si="72">SUM(D69:D70)</f>
        <v>0</v>
      </c>
      <c r="E68" s="149">
        <f t="shared" si="72"/>
        <v>498020</v>
      </c>
      <c r="F68" s="149">
        <f t="shared" si="72"/>
        <v>0</v>
      </c>
      <c r="G68" s="149">
        <f t="shared" si="72"/>
        <v>498020</v>
      </c>
      <c r="H68" s="149">
        <f t="shared" si="72"/>
        <v>472174</v>
      </c>
      <c r="I68" s="149">
        <f t="shared" si="72"/>
        <v>25846</v>
      </c>
      <c r="J68" s="149">
        <f t="shared" si="72"/>
        <v>14392</v>
      </c>
      <c r="K68" s="149">
        <f t="shared" si="72"/>
        <v>11454</v>
      </c>
      <c r="L68" s="147"/>
      <c r="M68" s="277">
        <v>498020</v>
      </c>
      <c r="N68" s="277">
        <v>472174</v>
      </c>
      <c r="O68" s="277">
        <f>G68-SUM(D68:F68)</f>
        <v>0</v>
      </c>
      <c r="P68" s="277">
        <f>G68-H68-I68</f>
        <v>0</v>
      </c>
      <c r="Q68" s="277">
        <f>I68-J68-K68</f>
        <v>0</v>
      </c>
    </row>
    <row r="69" spans="1:17" s="280" customFormat="1" ht="31.5" x14ac:dyDescent="0.25">
      <c r="A69" s="153" t="s">
        <v>174</v>
      </c>
      <c r="B69" s="152" t="s">
        <v>595</v>
      </c>
      <c r="C69" s="151"/>
      <c r="D69" s="146"/>
      <c r="E69" s="146">
        <v>22420</v>
      </c>
      <c r="F69" s="146"/>
      <c r="G69" s="146">
        <f t="shared" ref="G69:G70" si="73">SUM(D69:F69)</f>
        <v>22420</v>
      </c>
      <c r="H69" s="146">
        <v>8028</v>
      </c>
      <c r="I69" s="146">
        <f t="shared" ref="I69:I70" si="74">G69-H69</f>
        <v>14392</v>
      </c>
      <c r="J69" s="146">
        <f t="shared" si="44"/>
        <v>14392</v>
      </c>
      <c r="K69" s="146"/>
      <c r="L69" s="150"/>
      <c r="M69" s="279">
        <f>G68-M68</f>
        <v>0</v>
      </c>
      <c r="N69" s="279">
        <f>H68-N68</f>
        <v>0</v>
      </c>
    </row>
    <row r="70" spans="1:17" s="280" customFormat="1" x14ac:dyDescent="0.25">
      <c r="A70" s="153" t="s">
        <v>174</v>
      </c>
      <c r="B70" s="152" t="s">
        <v>184</v>
      </c>
      <c r="C70" s="151"/>
      <c r="D70" s="146"/>
      <c r="E70" s="146">
        <v>475600</v>
      </c>
      <c r="F70" s="146"/>
      <c r="G70" s="146">
        <f t="shared" si="73"/>
        <v>475600</v>
      </c>
      <c r="H70" s="146">
        <v>464146</v>
      </c>
      <c r="I70" s="146">
        <f t="shared" si="74"/>
        <v>11454</v>
      </c>
      <c r="J70" s="146">
        <f t="shared" ref="J70:J96" si="75">I70-K70</f>
        <v>0</v>
      </c>
      <c r="K70" s="146">
        <f>I70</f>
        <v>11454</v>
      </c>
      <c r="L70" s="150"/>
      <c r="M70" s="279"/>
      <c r="N70" s="279"/>
    </row>
    <row r="71" spans="1:17" s="278" customFormat="1" x14ac:dyDescent="0.25">
      <c r="A71" s="147">
        <v>18</v>
      </c>
      <c r="B71" s="283" t="s">
        <v>204</v>
      </c>
      <c r="C71" s="148" t="s">
        <v>200</v>
      </c>
      <c r="D71" s="149">
        <f t="shared" ref="D71:K71" si="76">SUM(D72:D74)</f>
        <v>0</v>
      </c>
      <c r="E71" s="149">
        <f t="shared" si="76"/>
        <v>530000</v>
      </c>
      <c r="F71" s="149">
        <f t="shared" si="76"/>
        <v>0</v>
      </c>
      <c r="G71" s="149">
        <f t="shared" si="76"/>
        <v>530000</v>
      </c>
      <c r="H71" s="149">
        <f t="shared" si="76"/>
        <v>495424</v>
      </c>
      <c r="I71" s="149">
        <f t="shared" si="76"/>
        <v>34576</v>
      </c>
      <c r="J71" s="149">
        <f t="shared" si="76"/>
        <v>25664</v>
      </c>
      <c r="K71" s="149">
        <f t="shared" si="76"/>
        <v>8912</v>
      </c>
      <c r="L71" s="147"/>
      <c r="M71" s="277">
        <v>530000</v>
      </c>
      <c r="N71" s="277">
        <v>495424</v>
      </c>
      <c r="O71" s="277">
        <f>G71-SUM(D71:F71)</f>
        <v>0</v>
      </c>
      <c r="P71" s="277">
        <f>G71-H71-I71</f>
        <v>0</v>
      </c>
      <c r="Q71" s="277">
        <f>I71-J71-K71</f>
        <v>0</v>
      </c>
    </row>
    <row r="72" spans="1:17" s="280" customFormat="1" ht="31.5" x14ac:dyDescent="0.25">
      <c r="A72" s="153" t="s">
        <v>174</v>
      </c>
      <c r="B72" s="152" t="s">
        <v>595</v>
      </c>
      <c r="C72" s="151"/>
      <c r="D72" s="146"/>
      <c r="E72" s="146">
        <v>32500</v>
      </c>
      <c r="F72" s="146"/>
      <c r="G72" s="146">
        <f t="shared" ref="G72:G74" si="77">SUM(D72:F72)</f>
        <v>32500</v>
      </c>
      <c r="H72" s="146">
        <v>10836</v>
      </c>
      <c r="I72" s="146">
        <f t="shared" ref="I72:I74" si="78">G72-H72</f>
        <v>21664</v>
      </c>
      <c r="J72" s="146">
        <f t="shared" si="75"/>
        <v>21664</v>
      </c>
      <c r="K72" s="146"/>
      <c r="L72" s="150"/>
      <c r="M72" s="279">
        <f>G71-M71</f>
        <v>0</v>
      </c>
      <c r="N72" s="279">
        <f>H71-N71</f>
        <v>0</v>
      </c>
    </row>
    <row r="73" spans="1:17" s="280" customFormat="1" x14ac:dyDescent="0.25">
      <c r="A73" s="153" t="s">
        <v>174</v>
      </c>
      <c r="B73" s="152" t="s">
        <v>184</v>
      </c>
      <c r="C73" s="151"/>
      <c r="D73" s="146"/>
      <c r="E73" s="146">
        <v>364600</v>
      </c>
      <c r="F73" s="146"/>
      <c r="G73" s="146">
        <f t="shared" si="77"/>
        <v>364600</v>
      </c>
      <c r="H73" s="146">
        <v>355823</v>
      </c>
      <c r="I73" s="146">
        <f t="shared" si="78"/>
        <v>8777</v>
      </c>
      <c r="J73" s="146">
        <f t="shared" si="75"/>
        <v>0</v>
      </c>
      <c r="K73" s="146">
        <f>I73</f>
        <v>8777</v>
      </c>
      <c r="L73" s="150"/>
      <c r="M73" s="279"/>
      <c r="N73" s="279"/>
    </row>
    <row r="74" spans="1:17" s="280" customFormat="1" x14ac:dyDescent="0.25">
      <c r="A74" s="153" t="s">
        <v>174</v>
      </c>
      <c r="B74" s="152" t="s">
        <v>185</v>
      </c>
      <c r="C74" s="151"/>
      <c r="D74" s="146"/>
      <c r="E74" s="146">
        <v>132900</v>
      </c>
      <c r="F74" s="146"/>
      <c r="G74" s="146">
        <f t="shared" si="77"/>
        <v>132900</v>
      </c>
      <c r="H74" s="146">
        <v>128765</v>
      </c>
      <c r="I74" s="146">
        <f t="shared" si="78"/>
        <v>4135</v>
      </c>
      <c r="J74" s="146">
        <f t="shared" si="75"/>
        <v>4000</v>
      </c>
      <c r="K74" s="146">
        <v>135</v>
      </c>
      <c r="L74" s="150"/>
      <c r="M74" s="279"/>
      <c r="N74" s="311" t="s">
        <v>721</v>
      </c>
    </row>
    <row r="75" spans="1:17" s="278" customFormat="1" x14ac:dyDescent="0.25">
      <c r="A75" s="147">
        <v>19</v>
      </c>
      <c r="B75" s="283" t="s">
        <v>203</v>
      </c>
      <c r="C75" s="148" t="s">
        <v>200</v>
      </c>
      <c r="D75" s="149">
        <f t="shared" ref="D75:K75" si="79">SUM(D76:D77)</f>
        <v>0</v>
      </c>
      <c r="E75" s="149">
        <f t="shared" si="79"/>
        <v>82950</v>
      </c>
      <c r="F75" s="149">
        <f t="shared" si="79"/>
        <v>0</v>
      </c>
      <c r="G75" s="149">
        <f t="shared" si="79"/>
        <v>82950</v>
      </c>
      <c r="H75" s="149">
        <f t="shared" si="79"/>
        <v>72978</v>
      </c>
      <c r="I75" s="149">
        <f t="shared" si="79"/>
        <v>9972</v>
      </c>
      <c r="J75" s="149">
        <f t="shared" si="79"/>
        <v>8366</v>
      </c>
      <c r="K75" s="149">
        <f t="shared" si="79"/>
        <v>1606</v>
      </c>
      <c r="L75" s="147"/>
      <c r="M75" s="277">
        <v>82950</v>
      </c>
      <c r="N75" s="277">
        <v>72978</v>
      </c>
      <c r="O75" s="277">
        <f>G75-SUM(D75:F75)</f>
        <v>0</v>
      </c>
      <c r="P75" s="277">
        <f>G75-H75-I75</f>
        <v>0</v>
      </c>
      <c r="Q75" s="277">
        <f>I75-J75-K75</f>
        <v>0</v>
      </c>
    </row>
    <row r="76" spans="1:17" s="280" customFormat="1" ht="31.5" x14ac:dyDescent="0.25">
      <c r="A76" s="153" t="s">
        <v>174</v>
      </c>
      <c r="B76" s="152" t="s">
        <v>595</v>
      </c>
      <c r="C76" s="151"/>
      <c r="D76" s="146"/>
      <c r="E76" s="146">
        <v>16250</v>
      </c>
      <c r="F76" s="146"/>
      <c r="G76" s="146">
        <f t="shared" ref="G76:G77" si="80">SUM(D76:F76)</f>
        <v>16250</v>
      </c>
      <c r="H76" s="146">
        <v>7884</v>
      </c>
      <c r="I76" s="146">
        <f t="shared" ref="I76:I77" si="81">G76-H76</f>
        <v>8366</v>
      </c>
      <c r="J76" s="146">
        <f t="shared" si="75"/>
        <v>8366</v>
      </c>
      <c r="K76" s="146"/>
      <c r="L76" s="150"/>
      <c r="M76" s="279">
        <f>G75-M75</f>
        <v>0</v>
      </c>
      <c r="N76" s="279">
        <f>H75-N75</f>
        <v>0</v>
      </c>
    </row>
    <row r="77" spans="1:17" s="280" customFormat="1" x14ac:dyDescent="0.25">
      <c r="A77" s="153" t="s">
        <v>174</v>
      </c>
      <c r="B77" s="152" t="s">
        <v>184</v>
      </c>
      <c r="C77" s="151"/>
      <c r="D77" s="146"/>
      <c r="E77" s="146">
        <v>66700</v>
      </c>
      <c r="F77" s="146"/>
      <c r="G77" s="146">
        <f t="shared" si="80"/>
        <v>66700</v>
      </c>
      <c r="H77" s="146">
        <v>65094</v>
      </c>
      <c r="I77" s="146">
        <f t="shared" si="81"/>
        <v>1606</v>
      </c>
      <c r="J77" s="146">
        <f t="shared" si="75"/>
        <v>0</v>
      </c>
      <c r="K77" s="146">
        <f>I77</f>
        <v>1606</v>
      </c>
      <c r="L77" s="150"/>
      <c r="M77" s="279"/>
      <c r="N77" s="279"/>
    </row>
    <row r="78" spans="1:17" s="278" customFormat="1" x14ac:dyDescent="0.25">
      <c r="A78" s="147">
        <v>20</v>
      </c>
      <c r="B78" s="283" t="s">
        <v>205</v>
      </c>
      <c r="C78" s="148" t="s">
        <v>200</v>
      </c>
      <c r="D78" s="149">
        <f t="shared" ref="D78:K78" si="82">SUM(D79:D81)</f>
        <v>0</v>
      </c>
      <c r="E78" s="149">
        <f t="shared" si="82"/>
        <v>294160</v>
      </c>
      <c r="F78" s="149">
        <f t="shared" si="82"/>
        <v>-21007</v>
      </c>
      <c r="G78" s="149">
        <f t="shared" si="82"/>
        <v>273153</v>
      </c>
      <c r="H78" s="149">
        <f t="shared" si="82"/>
        <v>273153</v>
      </c>
      <c r="I78" s="149">
        <f t="shared" si="82"/>
        <v>0</v>
      </c>
      <c r="J78" s="149">
        <f t="shared" si="82"/>
        <v>0</v>
      </c>
      <c r="K78" s="149">
        <f t="shared" si="82"/>
        <v>0</v>
      </c>
      <c r="L78" s="147"/>
      <c r="M78" s="277">
        <v>273153</v>
      </c>
      <c r="N78" s="277">
        <v>273153</v>
      </c>
      <c r="O78" s="277">
        <f>G78-SUM(D78:F78)</f>
        <v>0</v>
      </c>
      <c r="P78" s="277">
        <f>G78-H78-I78</f>
        <v>0</v>
      </c>
      <c r="Q78" s="277">
        <f>I78-J78-K78</f>
        <v>0</v>
      </c>
    </row>
    <row r="79" spans="1:17" s="280" customFormat="1" ht="31.5" x14ac:dyDescent="0.25">
      <c r="A79" s="153" t="s">
        <v>174</v>
      </c>
      <c r="B79" s="152" t="s">
        <v>595</v>
      </c>
      <c r="C79" s="151"/>
      <c r="D79" s="146"/>
      <c r="E79" s="146">
        <v>14360</v>
      </c>
      <c r="F79" s="146"/>
      <c r="G79" s="146">
        <f t="shared" ref="G79:G81" si="83">SUM(D79:F79)</f>
        <v>14360</v>
      </c>
      <c r="H79" s="146">
        <f>G79</f>
        <v>14360</v>
      </c>
      <c r="I79" s="146">
        <f t="shared" ref="I79:I81" si="84">G79-H79</f>
        <v>0</v>
      </c>
      <c r="J79" s="146">
        <f t="shared" si="75"/>
        <v>0</v>
      </c>
      <c r="K79" s="146"/>
      <c r="L79" s="150"/>
      <c r="M79" s="279">
        <f>G78-M78</f>
        <v>0</v>
      </c>
      <c r="N79" s="279">
        <f>H78-N78</f>
        <v>0</v>
      </c>
    </row>
    <row r="80" spans="1:17" s="280" customFormat="1" x14ac:dyDescent="0.25">
      <c r="A80" s="153" t="s">
        <v>174</v>
      </c>
      <c r="B80" s="152" t="s">
        <v>184</v>
      </c>
      <c r="C80" s="151"/>
      <c r="D80" s="146"/>
      <c r="E80" s="146">
        <v>172000</v>
      </c>
      <c r="F80" s="146">
        <v>-21007</v>
      </c>
      <c r="G80" s="146">
        <f t="shared" si="83"/>
        <v>150993</v>
      </c>
      <c r="H80" s="146">
        <f>G80</f>
        <v>150993</v>
      </c>
      <c r="I80" s="146">
        <f t="shared" si="84"/>
        <v>0</v>
      </c>
      <c r="J80" s="146">
        <f t="shared" si="75"/>
        <v>0</v>
      </c>
      <c r="K80" s="146"/>
      <c r="L80" s="150"/>
      <c r="M80" s="279"/>
      <c r="N80" s="279"/>
    </row>
    <row r="81" spans="1:17" s="280" customFormat="1" x14ac:dyDescent="0.25">
      <c r="A81" s="153" t="s">
        <v>174</v>
      </c>
      <c r="B81" s="152" t="s">
        <v>185</v>
      </c>
      <c r="C81" s="151"/>
      <c r="D81" s="146"/>
      <c r="E81" s="146">
        <v>107800</v>
      </c>
      <c r="F81" s="146"/>
      <c r="G81" s="146">
        <f t="shared" si="83"/>
        <v>107800</v>
      </c>
      <c r="H81" s="146">
        <f>G81</f>
        <v>107800</v>
      </c>
      <c r="I81" s="146">
        <f t="shared" si="84"/>
        <v>0</v>
      </c>
      <c r="J81" s="146">
        <f t="shared" si="75"/>
        <v>0</v>
      </c>
      <c r="K81" s="146"/>
      <c r="L81" s="150"/>
      <c r="M81" s="279"/>
      <c r="N81" s="279"/>
    </row>
    <row r="82" spans="1:17" s="278" customFormat="1" x14ac:dyDescent="0.25">
      <c r="A82" s="147">
        <v>21</v>
      </c>
      <c r="B82" s="283" t="s">
        <v>206</v>
      </c>
      <c r="C82" s="148" t="s">
        <v>200</v>
      </c>
      <c r="D82" s="149">
        <f t="shared" ref="D82:K82" si="85">SUM(D83:D84)</f>
        <v>0</v>
      </c>
      <c r="E82" s="149">
        <f t="shared" si="85"/>
        <v>32500</v>
      </c>
      <c r="F82" s="149">
        <f t="shared" si="85"/>
        <v>6140</v>
      </c>
      <c r="G82" s="149">
        <f t="shared" si="85"/>
        <v>38640</v>
      </c>
      <c r="H82" s="149">
        <f t="shared" si="85"/>
        <v>16508</v>
      </c>
      <c r="I82" s="149">
        <f t="shared" si="85"/>
        <v>22132</v>
      </c>
      <c r="J82" s="149">
        <f t="shared" si="85"/>
        <v>22132</v>
      </c>
      <c r="K82" s="149">
        <f t="shared" si="85"/>
        <v>0</v>
      </c>
      <c r="L82" s="147"/>
      <c r="M82" s="277">
        <v>38640</v>
      </c>
      <c r="N82" s="277">
        <v>16508</v>
      </c>
      <c r="O82" s="277">
        <f>G82-SUM(D82:F82)</f>
        <v>0</v>
      </c>
      <c r="P82" s="277">
        <f>G82-H82-I82</f>
        <v>0</v>
      </c>
      <c r="Q82" s="277">
        <f>I82-J82-K82</f>
        <v>0</v>
      </c>
    </row>
    <row r="83" spans="1:17" s="280" customFormat="1" ht="31.5" x14ac:dyDescent="0.25">
      <c r="A83" s="153" t="s">
        <v>174</v>
      </c>
      <c r="B83" s="152" t="s">
        <v>595</v>
      </c>
      <c r="C83" s="151"/>
      <c r="D83" s="146"/>
      <c r="E83" s="146">
        <v>32500</v>
      </c>
      <c r="F83" s="146"/>
      <c r="G83" s="146">
        <f t="shared" ref="G83" si="86">SUM(D83:F83)</f>
        <v>32500</v>
      </c>
      <c r="H83" s="146">
        <v>10368</v>
      </c>
      <c r="I83" s="146">
        <f t="shared" ref="I83" si="87">G83-H83</f>
        <v>22132</v>
      </c>
      <c r="J83" s="146">
        <f t="shared" si="75"/>
        <v>22132</v>
      </c>
      <c r="K83" s="146"/>
      <c r="L83" s="150"/>
      <c r="M83" s="279">
        <f>G82-M82</f>
        <v>0</v>
      </c>
      <c r="N83" s="279">
        <f>H82-N82</f>
        <v>0</v>
      </c>
    </row>
    <row r="84" spans="1:17" s="280" customFormat="1" ht="47.25" x14ac:dyDescent="0.25">
      <c r="A84" s="153" t="s">
        <v>174</v>
      </c>
      <c r="B84" s="152" t="s">
        <v>627</v>
      </c>
      <c r="C84" s="151"/>
      <c r="D84" s="146"/>
      <c r="E84" s="146"/>
      <c r="F84" s="146">
        <v>6140</v>
      </c>
      <c r="G84" s="146">
        <f t="shared" ref="G84" si="88">SUM(D84:F84)</f>
        <v>6140</v>
      </c>
      <c r="H84" s="146">
        <f>G84</f>
        <v>6140</v>
      </c>
      <c r="I84" s="146">
        <f t="shared" ref="I84" si="89">G84-H84</f>
        <v>0</v>
      </c>
      <c r="J84" s="146">
        <f t="shared" si="75"/>
        <v>0</v>
      </c>
      <c r="K84" s="146"/>
      <c r="L84" s="150"/>
      <c r="M84" s="279"/>
      <c r="N84" s="279"/>
    </row>
    <row r="85" spans="1:17" s="278" customFormat="1" x14ac:dyDescent="0.25">
      <c r="A85" s="147">
        <v>22</v>
      </c>
      <c r="B85" s="283" t="s">
        <v>207</v>
      </c>
      <c r="C85" s="148" t="s">
        <v>200</v>
      </c>
      <c r="D85" s="149">
        <f t="shared" ref="D85:K85" si="90">SUM(D86:D86)</f>
        <v>0</v>
      </c>
      <c r="E85" s="149">
        <f t="shared" si="90"/>
        <v>32500</v>
      </c>
      <c r="F85" s="149">
        <f t="shared" si="90"/>
        <v>0</v>
      </c>
      <c r="G85" s="149">
        <f t="shared" si="90"/>
        <v>32500</v>
      </c>
      <c r="H85" s="149">
        <f t="shared" si="90"/>
        <v>12744</v>
      </c>
      <c r="I85" s="149">
        <f t="shared" si="90"/>
        <v>19756</v>
      </c>
      <c r="J85" s="149">
        <f t="shared" si="90"/>
        <v>19756</v>
      </c>
      <c r="K85" s="149">
        <f t="shared" si="90"/>
        <v>0</v>
      </c>
      <c r="L85" s="147"/>
      <c r="M85" s="277">
        <v>32500</v>
      </c>
      <c r="N85" s="277">
        <v>12744</v>
      </c>
      <c r="O85" s="277">
        <f>G85-SUM(D85:F85)</f>
        <v>0</v>
      </c>
      <c r="P85" s="277">
        <f>G85-H85-I85</f>
        <v>0</v>
      </c>
      <c r="Q85" s="277">
        <f>I85-J85-K85</f>
        <v>0</v>
      </c>
    </row>
    <row r="86" spans="1:17" s="280" customFormat="1" ht="31.5" x14ac:dyDescent="0.25">
      <c r="A86" s="153" t="s">
        <v>174</v>
      </c>
      <c r="B86" s="152" t="s">
        <v>595</v>
      </c>
      <c r="C86" s="151"/>
      <c r="D86" s="146"/>
      <c r="E86" s="146">
        <v>32500</v>
      </c>
      <c r="F86" s="146"/>
      <c r="G86" s="146">
        <f t="shared" ref="G86" si="91">SUM(D86:F86)</f>
        <v>32500</v>
      </c>
      <c r="H86" s="146">
        <v>12744</v>
      </c>
      <c r="I86" s="146">
        <f t="shared" ref="I86" si="92">G86-H86</f>
        <v>19756</v>
      </c>
      <c r="J86" s="146">
        <f t="shared" si="75"/>
        <v>19756</v>
      </c>
      <c r="K86" s="146"/>
      <c r="L86" s="150"/>
      <c r="M86" s="279">
        <f>G85-M85</f>
        <v>0</v>
      </c>
      <c r="N86" s="279">
        <f>H85-N85</f>
        <v>0</v>
      </c>
    </row>
    <row r="87" spans="1:17" s="278" customFormat="1" x14ac:dyDescent="0.25">
      <c r="A87" s="147">
        <v>23</v>
      </c>
      <c r="B87" s="283" t="s">
        <v>208</v>
      </c>
      <c r="C87" s="148" t="s">
        <v>200</v>
      </c>
      <c r="D87" s="149">
        <f t="shared" ref="D87:K87" si="93">SUM(D88:D89)</f>
        <v>0</v>
      </c>
      <c r="E87" s="149">
        <f t="shared" si="93"/>
        <v>105580</v>
      </c>
      <c r="F87" s="149">
        <f t="shared" si="93"/>
        <v>0</v>
      </c>
      <c r="G87" s="149">
        <f t="shared" si="93"/>
        <v>105580</v>
      </c>
      <c r="H87" s="149">
        <f t="shared" si="93"/>
        <v>78874</v>
      </c>
      <c r="I87" s="149">
        <f t="shared" si="93"/>
        <v>26706</v>
      </c>
      <c r="J87" s="149">
        <f t="shared" si="93"/>
        <v>25224</v>
      </c>
      <c r="K87" s="149">
        <f t="shared" si="93"/>
        <v>1482</v>
      </c>
      <c r="L87" s="147"/>
      <c r="M87" s="277">
        <v>105580</v>
      </c>
      <c r="N87" s="277">
        <v>78874</v>
      </c>
      <c r="O87" s="277">
        <f>G87-SUM(D87:F87)</f>
        <v>0</v>
      </c>
      <c r="P87" s="277">
        <f>G87-H87-I87</f>
        <v>0</v>
      </c>
      <c r="Q87" s="277">
        <f>I87-J87-K87</f>
        <v>0</v>
      </c>
    </row>
    <row r="88" spans="1:17" s="280" customFormat="1" ht="31.5" x14ac:dyDescent="0.25">
      <c r="A88" s="153" t="s">
        <v>174</v>
      </c>
      <c r="B88" s="152" t="s">
        <v>595</v>
      </c>
      <c r="C88" s="151"/>
      <c r="D88" s="146"/>
      <c r="E88" s="146">
        <v>43080</v>
      </c>
      <c r="F88" s="146"/>
      <c r="G88" s="146">
        <f t="shared" ref="G88:G89" si="94">SUM(D88:F88)</f>
        <v>43080</v>
      </c>
      <c r="H88" s="146">
        <v>17856</v>
      </c>
      <c r="I88" s="146">
        <f t="shared" ref="I88:I89" si="95">G88-H88</f>
        <v>25224</v>
      </c>
      <c r="J88" s="146">
        <f t="shared" si="75"/>
        <v>25224</v>
      </c>
      <c r="K88" s="146"/>
      <c r="L88" s="150"/>
      <c r="M88" s="279">
        <f>G87-M87</f>
        <v>0</v>
      </c>
      <c r="N88" s="279">
        <f>H87-N87</f>
        <v>0</v>
      </c>
    </row>
    <row r="89" spans="1:17" s="280" customFormat="1" x14ac:dyDescent="0.25">
      <c r="A89" s="153" t="s">
        <v>174</v>
      </c>
      <c r="B89" s="152" t="s">
        <v>184</v>
      </c>
      <c r="C89" s="151"/>
      <c r="D89" s="146"/>
      <c r="E89" s="146">
        <v>62500</v>
      </c>
      <c r="F89" s="146"/>
      <c r="G89" s="146">
        <f t="shared" si="94"/>
        <v>62500</v>
      </c>
      <c r="H89" s="146">
        <v>61018</v>
      </c>
      <c r="I89" s="146">
        <f t="shared" si="95"/>
        <v>1482</v>
      </c>
      <c r="J89" s="146">
        <f t="shared" si="75"/>
        <v>0</v>
      </c>
      <c r="K89" s="146">
        <f>I89</f>
        <v>1482</v>
      </c>
      <c r="L89" s="150"/>
      <c r="M89" s="279"/>
      <c r="N89" s="279"/>
    </row>
    <row r="90" spans="1:17" s="278" customFormat="1" x14ac:dyDescent="0.25">
      <c r="A90" s="147">
        <v>24</v>
      </c>
      <c r="B90" s="283" t="s">
        <v>209</v>
      </c>
      <c r="C90" s="148" t="s">
        <v>200</v>
      </c>
      <c r="D90" s="149">
        <f t="shared" ref="D90:K90" si="96">SUM(D91:D93)</f>
        <v>0</v>
      </c>
      <c r="E90" s="149">
        <f t="shared" si="96"/>
        <v>29580</v>
      </c>
      <c r="F90" s="149">
        <f t="shared" si="96"/>
        <v>992</v>
      </c>
      <c r="G90" s="149">
        <f t="shared" si="96"/>
        <v>30572</v>
      </c>
      <c r="H90" s="149">
        <f t="shared" si="96"/>
        <v>14128</v>
      </c>
      <c r="I90" s="149">
        <f t="shared" si="96"/>
        <v>16444</v>
      </c>
      <c r="J90" s="149">
        <f t="shared" si="96"/>
        <v>16444</v>
      </c>
      <c r="K90" s="149">
        <f t="shared" si="96"/>
        <v>0</v>
      </c>
      <c r="L90" s="147"/>
      <c r="M90" s="277">
        <v>30572</v>
      </c>
      <c r="N90" s="277">
        <v>14128</v>
      </c>
      <c r="O90" s="277">
        <f>G90-SUM(D90:F90)</f>
        <v>0</v>
      </c>
      <c r="P90" s="277">
        <f>G90-H90-I90</f>
        <v>0</v>
      </c>
      <c r="Q90" s="277">
        <f>I90-J90-K90</f>
        <v>0</v>
      </c>
    </row>
    <row r="91" spans="1:17" s="280" customFormat="1" ht="31.5" x14ac:dyDescent="0.25">
      <c r="A91" s="153" t="s">
        <v>174</v>
      </c>
      <c r="B91" s="152" t="s">
        <v>595</v>
      </c>
      <c r="C91" s="151"/>
      <c r="D91" s="146"/>
      <c r="E91" s="146">
        <v>15620</v>
      </c>
      <c r="F91" s="146"/>
      <c r="G91" s="146">
        <f t="shared" ref="G91:G93" si="97">SUM(D91:F91)</f>
        <v>15620</v>
      </c>
      <c r="H91" s="146">
        <v>6372</v>
      </c>
      <c r="I91" s="146">
        <f t="shared" ref="I91:I93" si="98">G91-H91</f>
        <v>9248</v>
      </c>
      <c r="J91" s="146">
        <f t="shared" si="75"/>
        <v>9248</v>
      </c>
      <c r="K91" s="146"/>
      <c r="L91" s="150"/>
      <c r="M91" s="279">
        <f>G90-M90</f>
        <v>0</v>
      </c>
      <c r="N91" s="279">
        <f>H90-N90</f>
        <v>0</v>
      </c>
    </row>
    <row r="92" spans="1:17" s="280" customFormat="1" ht="17.25" customHeight="1" x14ac:dyDescent="0.25">
      <c r="A92" s="153" t="s">
        <v>174</v>
      </c>
      <c r="B92" s="152" t="s">
        <v>182</v>
      </c>
      <c r="C92" s="151"/>
      <c r="D92" s="146"/>
      <c r="E92" s="146">
        <v>13960</v>
      </c>
      <c r="F92" s="146"/>
      <c r="G92" s="146">
        <f t="shared" si="97"/>
        <v>13960</v>
      </c>
      <c r="H92" s="146">
        <v>7200</v>
      </c>
      <c r="I92" s="146">
        <f t="shared" si="98"/>
        <v>6760</v>
      </c>
      <c r="J92" s="146">
        <f t="shared" si="75"/>
        <v>6760</v>
      </c>
      <c r="K92" s="146"/>
      <c r="L92" s="150"/>
      <c r="M92" s="279"/>
      <c r="N92" s="279"/>
    </row>
    <row r="93" spans="1:17" s="280" customFormat="1" ht="78.75" x14ac:dyDescent="0.25">
      <c r="A93" s="153" t="s">
        <v>174</v>
      </c>
      <c r="B93" s="152" t="s">
        <v>623</v>
      </c>
      <c r="C93" s="151"/>
      <c r="D93" s="146"/>
      <c r="E93" s="146"/>
      <c r="F93" s="146">
        <v>992</v>
      </c>
      <c r="G93" s="146">
        <f t="shared" si="97"/>
        <v>992</v>
      </c>
      <c r="H93" s="146">
        <v>556</v>
      </c>
      <c r="I93" s="146">
        <f t="shared" si="98"/>
        <v>436</v>
      </c>
      <c r="J93" s="146">
        <f t="shared" si="75"/>
        <v>436</v>
      </c>
      <c r="K93" s="146"/>
      <c r="L93" s="150"/>
      <c r="M93" s="279"/>
      <c r="N93" s="279"/>
    </row>
    <row r="94" spans="1:17" s="278" customFormat="1" x14ac:dyDescent="0.25">
      <c r="A94" s="147">
        <v>25</v>
      </c>
      <c r="B94" s="283" t="s">
        <v>210</v>
      </c>
      <c r="C94" s="148" t="s">
        <v>200</v>
      </c>
      <c r="D94" s="149">
        <f t="shared" ref="D94:K94" si="99">SUM(D95:D97)</f>
        <v>0</v>
      </c>
      <c r="E94" s="149">
        <f t="shared" si="99"/>
        <v>358500</v>
      </c>
      <c r="F94" s="149">
        <f t="shared" si="99"/>
        <v>0</v>
      </c>
      <c r="G94" s="149">
        <f t="shared" si="99"/>
        <v>358500</v>
      </c>
      <c r="H94" s="149">
        <f t="shared" si="99"/>
        <v>328574</v>
      </c>
      <c r="I94" s="149">
        <f t="shared" si="99"/>
        <v>29926</v>
      </c>
      <c r="J94" s="149">
        <f t="shared" si="99"/>
        <v>23032</v>
      </c>
      <c r="K94" s="149">
        <f t="shared" si="99"/>
        <v>6894</v>
      </c>
      <c r="L94" s="147"/>
      <c r="M94" s="277">
        <v>358500</v>
      </c>
      <c r="N94" s="277">
        <v>328574</v>
      </c>
      <c r="O94" s="277">
        <f>G94-SUM(D94:F94)</f>
        <v>0</v>
      </c>
      <c r="P94" s="277">
        <f>G94-H94-I94</f>
        <v>0</v>
      </c>
      <c r="Q94" s="277">
        <f>I94-J94-K94</f>
        <v>0</v>
      </c>
    </row>
    <row r="95" spans="1:17" s="280" customFormat="1" ht="31.5" x14ac:dyDescent="0.25">
      <c r="A95" s="153" t="s">
        <v>174</v>
      </c>
      <c r="B95" s="152" t="s">
        <v>595</v>
      </c>
      <c r="C95" s="151"/>
      <c r="D95" s="146"/>
      <c r="E95" s="146">
        <v>32500</v>
      </c>
      <c r="F95" s="146"/>
      <c r="G95" s="146">
        <f t="shared" ref="G95:G97" si="100">SUM(D95:F95)</f>
        <v>32500</v>
      </c>
      <c r="H95" s="146">
        <v>9468</v>
      </c>
      <c r="I95" s="146">
        <f t="shared" ref="I95:I97" si="101">G95-H95</f>
        <v>23032</v>
      </c>
      <c r="J95" s="146">
        <f t="shared" si="75"/>
        <v>23032</v>
      </c>
      <c r="K95" s="146"/>
      <c r="L95" s="150"/>
      <c r="M95" s="279">
        <f>G94-M94</f>
        <v>0</v>
      </c>
      <c r="N95" s="279">
        <f>H94-N94</f>
        <v>0</v>
      </c>
    </row>
    <row r="96" spans="1:17" s="280" customFormat="1" x14ac:dyDescent="0.25">
      <c r="A96" s="153" t="s">
        <v>174</v>
      </c>
      <c r="B96" s="152" t="s">
        <v>184</v>
      </c>
      <c r="C96" s="151"/>
      <c r="D96" s="146"/>
      <c r="E96" s="146">
        <v>276000</v>
      </c>
      <c r="F96" s="146"/>
      <c r="G96" s="146">
        <f t="shared" si="100"/>
        <v>276000</v>
      </c>
      <c r="H96" s="146">
        <v>269356</v>
      </c>
      <c r="I96" s="146">
        <f t="shared" si="101"/>
        <v>6644</v>
      </c>
      <c r="J96" s="146">
        <f t="shared" si="75"/>
        <v>0</v>
      </c>
      <c r="K96" s="146">
        <f>I96</f>
        <v>6644</v>
      </c>
      <c r="L96" s="150"/>
      <c r="M96" s="279"/>
      <c r="N96" s="279"/>
    </row>
    <row r="97" spans="1:17" s="280" customFormat="1" x14ac:dyDescent="0.25">
      <c r="A97" s="153" t="s">
        <v>174</v>
      </c>
      <c r="B97" s="152" t="s">
        <v>185</v>
      </c>
      <c r="C97" s="151"/>
      <c r="D97" s="146"/>
      <c r="E97" s="146">
        <v>50000</v>
      </c>
      <c r="F97" s="146"/>
      <c r="G97" s="146">
        <f t="shared" si="100"/>
        <v>50000</v>
      </c>
      <c r="H97" s="146">
        <v>49750</v>
      </c>
      <c r="I97" s="146">
        <f t="shared" si="101"/>
        <v>250</v>
      </c>
      <c r="J97" s="146">
        <f t="shared" ref="J97:J131" si="102">I97-K97</f>
        <v>0</v>
      </c>
      <c r="K97" s="146">
        <f>I97</f>
        <v>250</v>
      </c>
      <c r="L97" s="150"/>
      <c r="M97" s="279"/>
      <c r="N97" s="279"/>
    </row>
    <row r="98" spans="1:17" s="278" customFormat="1" x14ac:dyDescent="0.25">
      <c r="A98" s="147">
        <v>26</v>
      </c>
      <c r="B98" s="283" t="s">
        <v>211</v>
      </c>
      <c r="C98" s="148" t="s">
        <v>200</v>
      </c>
      <c r="D98" s="149">
        <f t="shared" ref="D98:K98" si="103">SUM(D99:D100)</f>
        <v>0</v>
      </c>
      <c r="E98" s="149">
        <f t="shared" si="103"/>
        <v>216500</v>
      </c>
      <c r="F98" s="149">
        <f t="shared" si="103"/>
        <v>0</v>
      </c>
      <c r="G98" s="149">
        <f t="shared" si="103"/>
        <v>216500</v>
      </c>
      <c r="H98" s="149">
        <f t="shared" si="103"/>
        <v>191685</v>
      </c>
      <c r="I98" s="149">
        <f t="shared" si="103"/>
        <v>24815</v>
      </c>
      <c r="J98" s="149">
        <f t="shared" si="103"/>
        <v>20386</v>
      </c>
      <c r="K98" s="149">
        <f t="shared" si="103"/>
        <v>4429</v>
      </c>
      <c r="L98" s="147"/>
      <c r="M98" s="277">
        <v>216500</v>
      </c>
      <c r="N98" s="277">
        <v>191685</v>
      </c>
      <c r="O98" s="277">
        <f>G98-SUM(D98:F98)</f>
        <v>0</v>
      </c>
      <c r="P98" s="277">
        <f>G98-H98-I98</f>
        <v>0</v>
      </c>
      <c r="Q98" s="277">
        <f>I98-J98-K98</f>
        <v>0</v>
      </c>
    </row>
    <row r="99" spans="1:17" s="280" customFormat="1" ht="31.5" x14ac:dyDescent="0.25">
      <c r="A99" s="153" t="s">
        <v>174</v>
      </c>
      <c r="B99" s="152" t="s">
        <v>595</v>
      </c>
      <c r="C99" s="151"/>
      <c r="D99" s="146"/>
      <c r="E99" s="146">
        <v>32500</v>
      </c>
      <c r="F99" s="146"/>
      <c r="G99" s="146">
        <f t="shared" ref="G99:G100" si="104">SUM(D99:F99)</f>
        <v>32500</v>
      </c>
      <c r="H99" s="146">
        <v>12114</v>
      </c>
      <c r="I99" s="146">
        <f t="shared" ref="I99:I100" si="105">G99-H99</f>
        <v>20386</v>
      </c>
      <c r="J99" s="146">
        <f t="shared" si="102"/>
        <v>20386</v>
      </c>
      <c r="K99" s="146"/>
      <c r="L99" s="150"/>
      <c r="M99" s="279">
        <f>G98-M98</f>
        <v>0</v>
      </c>
      <c r="N99" s="279">
        <f>H98-N98</f>
        <v>0</v>
      </c>
    </row>
    <row r="100" spans="1:17" s="280" customFormat="1" x14ac:dyDescent="0.25">
      <c r="A100" s="153" t="s">
        <v>174</v>
      </c>
      <c r="B100" s="152" t="s">
        <v>184</v>
      </c>
      <c r="C100" s="151"/>
      <c r="D100" s="146"/>
      <c r="E100" s="146">
        <v>184000</v>
      </c>
      <c r="F100" s="146"/>
      <c r="G100" s="146">
        <f t="shared" si="104"/>
        <v>184000</v>
      </c>
      <c r="H100" s="146">
        <v>179571</v>
      </c>
      <c r="I100" s="146">
        <f t="shared" si="105"/>
        <v>4429</v>
      </c>
      <c r="J100" s="146">
        <f t="shared" si="102"/>
        <v>0</v>
      </c>
      <c r="K100" s="146">
        <f>I100</f>
        <v>4429</v>
      </c>
      <c r="L100" s="150"/>
      <c r="M100" s="279"/>
      <c r="N100" s="279"/>
    </row>
    <row r="101" spans="1:17" s="278" customFormat="1" x14ac:dyDescent="0.25">
      <c r="A101" s="147">
        <v>27</v>
      </c>
      <c r="B101" s="283" t="s">
        <v>212</v>
      </c>
      <c r="C101" s="148" t="s">
        <v>200</v>
      </c>
      <c r="D101" s="149">
        <f t="shared" ref="D101:K101" si="106">SUM(D102:D102)</f>
        <v>0</v>
      </c>
      <c r="E101" s="149">
        <f t="shared" si="106"/>
        <v>32500</v>
      </c>
      <c r="F101" s="149">
        <f t="shared" si="106"/>
        <v>0</v>
      </c>
      <c r="G101" s="149">
        <f t="shared" si="106"/>
        <v>32500</v>
      </c>
      <c r="H101" s="149">
        <f t="shared" si="106"/>
        <v>9396</v>
      </c>
      <c r="I101" s="149">
        <f t="shared" si="106"/>
        <v>23104</v>
      </c>
      <c r="J101" s="149">
        <f t="shared" si="106"/>
        <v>16156</v>
      </c>
      <c r="K101" s="149">
        <f t="shared" si="106"/>
        <v>6948</v>
      </c>
      <c r="L101" s="147"/>
      <c r="M101" s="277">
        <v>32500</v>
      </c>
      <c r="N101" s="277">
        <v>9396</v>
      </c>
      <c r="O101" s="277">
        <f>G101-SUM(D101:F101)</f>
        <v>0</v>
      </c>
      <c r="P101" s="277">
        <f>G101-H101-I101</f>
        <v>0</v>
      </c>
      <c r="Q101" s="277">
        <f>I101-J101-K101</f>
        <v>0</v>
      </c>
    </row>
    <row r="102" spans="1:17" s="280" customFormat="1" ht="31.5" x14ac:dyDescent="0.25">
      <c r="A102" s="153" t="s">
        <v>174</v>
      </c>
      <c r="B102" s="152" t="s">
        <v>595</v>
      </c>
      <c r="C102" s="151"/>
      <c r="D102" s="146"/>
      <c r="E102" s="146">
        <v>32500</v>
      </c>
      <c r="F102" s="146"/>
      <c r="G102" s="146">
        <f t="shared" ref="G102" si="107">SUM(D102:F102)</f>
        <v>32500</v>
      </c>
      <c r="H102" s="146">
        <v>9396</v>
      </c>
      <c r="I102" s="146">
        <f t="shared" ref="I102" si="108">G102-H102</f>
        <v>23104</v>
      </c>
      <c r="J102" s="146">
        <f t="shared" si="102"/>
        <v>16156</v>
      </c>
      <c r="K102" s="146">
        <v>6948</v>
      </c>
      <c r="L102" s="150"/>
      <c r="M102" s="279">
        <f>G101-M101</f>
        <v>0</v>
      </c>
      <c r="N102" s="279">
        <f>H101-N101</f>
        <v>0</v>
      </c>
    </row>
    <row r="103" spans="1:17" s="278" customFormat="1" x14ac:dyDescent="0.25">
      <c r="A103" s="147">
        <v>28</v>
      </c>
      <c r="B103" s="283" t="s">
        <v>213</v>
      </c>
      <c r="C103" s="148" t="s">
        <v>200</v>
      </c>
      <c r="D103" s="149">
        <f t="shared" ref="D103:K103" si="109">SUM(D104:D106)</f>
        <v>0</v>
      </c>
      <c r="E103" s="149">
        <f t="shared" si="109"/>
        <v>29980</v>
      </c>
      <c r="F103" s="149">
        <f t="shared" si="109"/>
        <v>705018</v>
      </c>
      <c r="G103" s="149">
        <f t="shared" si="109"/>
        <v>734998</v>
      </c>
      <c r="H103" s="149">
        <f t="shared" si="109"/>
        <v>717408.2</v>
      </c>
      <c r="I103" s="149">
        <f t="shared" si="109"/>
        <v>17589.8</v>
      </c>
      <c r="J103" s="149">
        <f t="shared" si="109"/>
        <v>17589.8</v>
      </c>
      <c r="K103" s="149">
        <f t="shared" si="109"/>
        <v>0</v>
      </c>
      <c r="L103" s="147"/>
      <c r="M103" s="277">
        <v>734998</v>
      </c>
      <c r="N103" s="277">
        <v>717408.2</v>
      </c>
      <c r="O103" s="277">
        <f>G103-SUM(D103:F103)</f>
        <v>0</v>
      </c>
      <c r="P103" s="277">
        <f>G103-H103-I103</f>
        <v>4.7293724492192268E-11</v>
      </c>
      <c r="Q103" s="277">
        <f>I103-J103-K103</f>
        <v>0</v>
      </c>
    </row>
    <row r="104" spans="1:17" s="280" customFormat="1" ht="31.5" x14ac:dyDescent="0.25">
      <c r="A104" s="153" t="s">
        <v>174</v>
      </c>
      <c r="B104" s="152" t="s">
        <v>595</v>
      </c>
      <c r="C104" s="151"/>
      <c r="D104" s="146"/>
      <c r="E104" s="146">
        <v>29980</v>
      </c>
      <c r="F104" s="146"/>
      <c r="G104" s="146">
        <f t="shared" ref="G104" si="110">SUM(D104:F104)</f>
        <v>29980</v>
      </c>
      <c r="H104" s="146">
        <f>1050.2+6048+5292</f>
        <v>12390.2</v>
      </c>
      <c r="I104" s="146">
        <f t="shared" ref="I104" si="111">G104-H104</f>
        <v>17589.8</v>
      </c>
      <c r="J104" s="146">
        <f t="shared" si="102"/>
        <v>17589.8</v>
      </c>
      <c r="K104" s="146"/>
      <c r="L104" s="150"/>
      <c r="M104" s="279">
        <f>G103-M103</f>
        <v>0</v>
      </c>
      <c r="N104" s="279">
        <f>H103-N103</f>
        <v>0</v>
      </c>
    </row>
    <row r="105" spans="1:17" s="280" customFormat="1" ht="31.5" x14ac:dyDescent="0.25">
      <c r="A105" s="153" t="s">
        <v>174</v>
      </c>
      <c r="B105" s="281" t="s">
        <v>603</v>
      </c>
      <c r="C105" s="151"/>
      <c r="D105" s="146"/>
      <c r="E105" s="146"/>
      <c r="F105" s="146">
        <v>698814</v>
      </c>
      <c r="G105" s="146">
        <f t="shared" ref="G105" si="112">SUM(D105:F105)</f>
        <v>698814</v>
      </c>
      <c r="H105" s="146">
        <v>698814</v>
      </c>
      <c r="I105" s="146">
        <f t="shared" ref="I105" si="113">G105-H105</f>
        <v>0</v>
      </c>
      <c r="J105" s="146">
        <f t="shared" ref="J105" si="114">I105-K105</f>
        <v>0</v>
      </c>
      <c r="K105" s="146"/>
      <c r="L105" s="150"/>
      <c r="M105" s="279"/>
      <c r="N105" s="279"/>
    </row>
    <row r="106" spans="1:17" s="280" customFormat="1" ht="78.75" x14ac:dyDescent="0.25">
      <c r="A106" s="153"/>
      <c r="B106" s="152" t="s">
        <v>623</v>
      </c>
      <c r="C106" s="151"/>
      <c r="D106" s="146"/>
      <c r="E106" s="146"/>
      <c r="F106" s="146">
        <v>6204</v>
      </c>
      <c r="G106" s="146">
        <f t="shared" ref="G106" si="115">SUM(D106:F106)</f>
        <v>6204</v>
      </c>
      <c r="H106" s="146">
        <f>G106</f>
        <v>6204</v>
      </c>
      <c r="I106" s="146">
        <f t="shared" ref="I106" si="116">G106-H106</f>
        <v>0</v>
      </c>
      <c r="J106" s="146">
        <f t="shared" ref="J106" si="117">I106-K106</f>
        <v>0</v>
      </c>
      <c r="K106" s="146"/>
      <c r="L106" s="150"/>
      <c r="M106" s="279"/>
      <c r="N106" s="279"/>
    </row>
    <row r="107" spans="1:17" s="278" customFormat="1" x14ac:dyDescent="0.25">
      <c r="A107" s="147">
        <v>29</v>
      </c>
      <c r="B107" s="283" t="s">
        <v>214</v>
      </c>
      <c r="C107" s="148" t="s">
        <v>200</v>
      </c>
      <c r="D107" s="149">
        <f t="shared" ref="D107:K107" si="118">SUM(D108:D109)</f>
        <v>0</v>
      </c>
      <c r="E107" s="149">
        <f t="shared" si="118"/>
        <v>1034080</v>
      </c>
      <c r="F107" s="149">
        <f t="shared" si="118"/>
        <v>0</v>
      </c>
      <c r="G107" s="149">
        <f t="shared" si="118"/>
        <v>1034080</v>
      </c>
      <c r="H107" s="149">
        <f t="shared" si="118"/>
        <v>886355</v>
      </c>
      <c r="I107" s="149">
        <f t="shared" si="118"/>
        <v>147725</v>
      </c>
      <c r="J107" s="149">
        <f t="shared" si="118"/>
        <v>147725</v>
      </c>
      <c r="K107" s="149">
        <f t="shared" si="118"/>
        <v>0</v>
      </c>
      <c r="L107" s="147"/>
      <c r="M107" s="277">
        <v>1034080</v>
      </c>
      <c r="N107" s="277">
        <v>886355</v>
      </c>
      <c r="O107" s="277">
        <f>G107-SUM(D107:F107)</f>
        <v>0</v>
      </c>
      <c r="P107" s="277">
        <f>G107-H107-I107</f>
        <v>0</v>
      </c>
      <c r="Q107" s="277">
        <f>I107-J107-K107</f>
        <v>0</v>
      </c>
    </row>
    <row r="108" spans="1:17" s="280" customFormat="1" ht="31.5" x14ac:dyDescent="0.25">
      <c r="A108" s="153" t="s">
        <v>174</v>
      </c>
      <c r="B108" s="152" t="s">
        <v>595</v>
      </c>
      <c r="C108" s="151"/>
      <c r="D108" s="146"/>
      <c r="E108" s="146">
        <v>43080</v>
      </c>
      <c r="F108" s="146"/>
      <c r="G108" s="146">
        <f t="shared" ref="G108:G109" si="119">SUM(D108:F108)</f>
        <v>43080</v>
      </c>
      <c r="H108" s="146">
        <v>16956</v>
      </c>
      <c r="I108" s="146">
        <f t="shared" ref="I108:I109" si="120">G108-H108</f>
        <v>26124</v>
      </c>
      <c r="J108" s="146">
        <f t="shared" si="102"/>
        <v>26124</v>
      </c>
      <c r="K108" s="146"/>
      <c r="L108" s="150"/>
      <c r="M108" s="279">
        <f>G107-M107</f>
        <v>0</v>
      </c>
      <c r="N108" s="279">
        <f>H107-N107</f>
        <v>0</v>
      </c>
    </row>
    <row r="109" spans="1:17" s="280" customFormat="1" x14ac:dyDescent="0.25">
      <c r="A109" s="153" t="s">
        <v>174</v>
      </c>
      <c r="B109" s="152" t="s">
        <v>184</v>
      </c>
      <c r="C109" s="151"/>
      <c r="D109" s="146"/>
      <c r="E109" s="146">
        <v>991000</v>
      </c>
      <c r="F109" s="146"/>
      <c r="G109" s="146">
        <f t="shared" si="119"/>
        <v>991000</v>
      </c>
      <c r="H109" s="146">
        <v>869399</v>
      </c>
      <c r="I109" s="146">
        <f t="shared" si="120"/>
        <v>121601</v>
      </c>
      <c r="J109" s="146">
        <f t="shared" si="102"/>
        <v>121601</v>
      </c>
      <c r="K109" s="146"/>
      <c r="L109" s="150"/>
      <c r="M109" s="311" t="s">
        <v>709</v>
      </c>
      <c r="N109" s="279"/>
    </row>
    <row r="110" spans="1:17" s="278" customFormat="1" x14ac:dyDescent="0.25">
      <c r="A110" s="147">
        <v>30</v>
      </c>
      <c r="B110" s="283" t="s">
        <v>596</v>
      </c>
      <c r="C110" s="148" t="s">
        <v>200</v>
      </c>
      <c r="D110" s="149">
        <f t="shared" ref="D110:K110" si="121">SUM(D111:D114)</f>
        <v>0</v>
      </c>
      <c r="E110" s="149">
        <f t="shared" si="121"/>
        <v>598880</v>
      </c>
      <c r="F110" s="149">
        <f t="shared" si="121"/>
        <v>9601</v>
      </c>
      <c r="G110" s="149">
        <f t="shared" si="121"/>
        <v>608481</v>
      </c>
      <c r="H110" s="149">
        <f t="shared" si="121"/>
        <v>568086</v>
      </c>
      <c r="I110" s="149">
        <f t="shared" si="121"/>
        <v>40395</v>
      </c>
      <c r="J110" s="149">
        <f t="shared" si="121"/>
        <v>40395</v>
      </c>
      <c r="K110" s="149">
        <f t="shared" si="121"/>
        <v>0</v>
      </c>
      <c r="L110" s="147"/>
      <c r="M110" s="277">
        <v>608481</v>
      </c>
      <c r="N110" s="277">
        <v>568086</v>
      </c>
      <c r="O110" s="277">
        <f>G110-SUM(D110:F110)</f>
        <v>0</v>
      </c>
      <c r="P110" s="277">
        <f>G110-H110-I110</f>
        <v>0</v>
      </c>
      <c r="Q110" s="277">
        <f>I110-J110-K110</f>
        <v>0</v>
      </c>
    </row>
    <row r="111" spans="1:17" s="280" customFormat="1" ht="31.5" x14ac:dyDescent="0.25">
      <c r="A111" s="153" t="s">
        <v>174</v>
      </c>
      <c r="B111" s="152" t="s">
        <v>595</v>
      </c>
      <c r="C111" s="151"/>
      <c r="D111" s="146"/>
      <c r="E111" s="146">
        <v>41580</v>
      </c>
      <c r="F111" s="146"/>
      <c r="G111" s="146">
        <f t="shared" ref="G111:G113" si="122">SUM(D111:F111)</f>
        <v>41580</v>
      </c>
      <c r="H111" s="146">
        <v>19116</v>
      </c>
      <c r="I111" s="146">
        <f t="shared" ref="I111:I114" si="123">G111-H111</f>
        <v>22464</v>
      </c>
      <c r="J111" s="146">
        <f t="shared" si="102"/>
        <v>22464</v>
      </c>
      <c r="K111" s="146"/>
      <c r="L111" s="150"/>
      <c r="M111" s="279">
        <f>G110-M110</f>
        <v>0</v>
      </c>
      <c r="N111" s="279">
        <f>H110-N110</f>
        <v>0</v>
      </c>
    </row>
    <row r="112" spans="1:17" s="280" customFormat="1" x14ac:dyDescent="0.25">
      <c r="A112" s="153" t="s">
        <v>174</v>
      </c>
      <c r="B112" s="152" t="s">
        <v>184</v>
      </c>
      <c r="C112" s="151"/>
      <c r="D112" s="146"/>
      <c r="E112" s="146">
        <v>557300</v>
      </c>
      <c r="F112" s="146"/>
      <c r="G112" s="146">
        <f t="shared" si="122"/>
        <v>557300</v>
      </c>
      <c r="H112" s="146">
        <v>543884</v>
      </c>
      <c r="I112" s="146">
        <f t="shared" si="123"/>
        <v>13416</v>
      </c>
      <c r="J112" s="146">
        <f t="shared" si="102"/>
        <v>13416</v>
      </c>
      <c r="K112" s="146"/>
      <c r="L112" s="150"/>
      <c r="M112" s="311" t="s">
        <v>710</v>
      </c>
      <c r="N112" s="279"/>
    </row>
    <row r="113" spans="1:17" s="280" customFormat="1" ht="78.75" x14ac:dyDescent="0.25">
      <c r="A113" s="153" t="s">
        <v>174</v>
      </c>
      <c r="B113" s="152" t="s">
        <v>623</v>
      </c>
      <c r="C113" s="151"/>
      <c r="D113" s="146"/>
      <c r="E113" s="146"/>
      <c r="F113" s="146">
        <v>5086</v>
      </c>
      <c r="G113" s="146">
        <f t="shared" si="122"/>
        <v>5086</v>
      </c>
      <c r="H113" s="146">
        <v>5086</v>
      </c>
      <c r="I113" s="146">
        <f t="shared" si="123"/>
        <v>0</v>
      </c>
      <c r="J113" s="146">
        <f t="shared" si="102"/>
        <v>0</v>
      </c>
      <c r="K113" s="146"/>
      <c r="L113" s="150"/>
      <c r="M113" s="279"/>
      <c r="N113" s="279"/>
    </row>
    <row r="114" spans="1:17" s="280" customFormat="1" ht="31.5" x14ac:dyDescent="0.25">
      <c r="A114" s="153" t="s">
        <v>174</v>
      </c>
      <c r="B114" s="152" t="s">
        <v>309</v>
      </c>
      <c r="C114" s="151"/>
      <c r="D114" s="146"/>
      <c r="E114" s="146"/>
      <c r="F114" s="146">
        <v>4515</v>
      </c>
      <c r="G114" s="146">
        <f t="shared" ref="G114" si="124">SUM(D114:F114)</f>
        <v>4515</v>
      </c>
      <c r="H114" s="146"/>
      <c r="I114" s="146">
        <f t="shared" si="123"/>
        <v>4515</v>
      </c>
      <c r="J114" s="146">
        <f t="shared" si="102"/>
        <v>4515</v>
      </c>
      <c r="K114" s="146"/>
      <c r="L114" s="150"/>
      <c r="M114" s="279"/>
      <c r="N114" s="279"/>
    </row>
    <row r="115" spans="1:17" s="278" customFormat="1" x14ac:dyDescent="0.25">
      <c r="A115" s="147">
        <v>31</v>
      </c>
      <c r="B115" s="283" t="s">
        <v>215</v>
      </c>
      <c r="C115" s="148" t="s">
        <v>200</v>
      </c>
      <c r="D115" s="149">
        <f t="shared" ref="D115:K115" si="125">SUM(D116:D117)</f>
        <v>0</v>
      </c>
      <c r="E115" s="149">
        <f t="shared" si="125"/>
        <v>331300</v>
      </c>
      <c r="F115" s="149">
        <f t="shared" si="125"/>
        <v>0</v>
      </c>
      <c r="G115" s="149">
        <f t="shared" si="125"/>
        <v>331300</v>
      </c>
      <c r="H115" s="149">
        <f t="shared" si="125"/>
        <v>304891</v>
      </c>
      <c r="I115" s="149">
        <f t="shared" si="125"/>
        <v>26409</v>
      </c>
      <c r="J115" s="149">
        <f t="shared" si="125"/>
        <v>19216</v>
      </c>
      <c r="K115" s="149">
        <f t="shared" si="125"/>
        <v>7193</v>
      </c>
      <c r="L115" s="147"/>
      <c r="M115" s="277">
        <v>331300</v>
      </c>
      <c r="N115" s="277">
        <v>304891</v>
      </c>
      <c r="O115" s="277">
        <f>G115-SUM(D115:F115)</f>
        <v>0</v>
      </c>
      <c r="P115" s="277">
        <f>G115-H115-I115</f>
        <v>0</v>
      </c>
      <c r="Q115" s="277">
        <f>I115-J115-K115</f>
        <v>0</v>
      </c>
    </row>
    <row r="116" spans="1:17" s="280" customFormat="1" ht="31.5" x14ac:dyDescent="0.25">
      <c r="A116" s="153" t="s">
        <v>174</v>
      </c>
      <c r="B116" s="152" t="s">
        <v>595</v>
      </c>
      <c r="C116" s="151"/>
      <c r="D116" s="146"/>
      <c r="E116" s="146">
        <v>32500</v>
      </c>
      <c r="F116" s="146"/>
      <c r="G116" s="146">
        <f t="shared" ref="G116:G117" si="126">SUM(D116:F116)</f>
        <v>32500</v>
      </c>
      <c r="H116" s="146">
        <v>13284</v>
      </c>
      <c r="I116" s="146">
        <f t="shared" ref="I116:I117" si="127">G116-H116</f>
        <v>19216</v>
      </c>
      <c r="J116" s="146">
        <f t="shared" si="102"/>
        <v>19216</v>
      </c>
      <c r="K116" s="146"/>
      <c r="L116" s="150"/>
      <c r="M116" s="279">
        <f>G115-M115</f>
        <v>0</v>
      </c>
      <c r="N116" s="279">
        <f>H115-N115</f>
        <v>0</v>
      </c>
    </row>
    <row r="117" spans="1:17" s="280" customFormat="1" x14ac:dyDescent="0.25">
      <c r="A117" s="153" t="s">
        <v>174</v>
      </c>
      <c r="B117" s="152" t="s">
        <v>184</v>
      </c>
      <c r="C117" s="151"/>
      <c r="D117" s="146"/>
      <c r="E117" s="146">
        <v>298800</v>
      </c>
      <c r="F117" s="146"/>
      <c r="G117" s="146">
        <f t="shared" si="126"/>
        <v>298800</v>
      </c>
      <c r="H117" s="146">
        <v>291607</v>
      </c>
      <c r="I117" s="146">
        <f t="shared" si="127"/>
        <v>7193</v>
      </c>
      <c r="J117" s="146">
        <f t="shared" si="102"/>
        <v>0</v>
      </c>
      <c r="K117" s="146">
        <f>I117</f>
        <v>7193</v>
      </c>
      <c r="L117" s="150"/>
      <c r="M117" s="279"/>
      <c r="N117" s="279"/>
    </row>
    <row r="118" spans="1:17" s="278" customFormat="1" x14ac:dyDescent="0.25">
      <c r="A118" s="147">
        <v>32</v>
      </c>
      <c r="B118" s="283" t="s">
        <v>217</v>
      </c>
      <c r="C118" s="148" t="s">
        <v>216</v>
      </c>
      <c r="D118" s="149">
        <f t="shared" ref="D118:K118" si="128">SUM(D119:D123)</f>
        <v>0</v>
      </c>
      <c r="E118" s="149">
        <f t="shared" si="128"/>
        <v>401164</v>
      </c>
      <c r="F118" s="149">
        <f t="shared" si="128"/>
        <v>4445</v>
      </c>
      <c r="G118" s="149">
        <f t="shared" si="128"/>
        <v>405609</v>
      </c>
      <c r="H118" s="149">
        <f t="shared" si="128"/>
        <v>311676.842</v>
      </c>
      <c r="I118" s="149">
        <f t="shared" si="128"/>
        <v>93932.157999999996</v>
      </c>
      <c r="J118" s="149">
        <f t="shared" si="128"/>
        <v>76266.157999999996</v>
      </c>
      <c r="K118" s="149">
        <f t="shared" si="128"/>
        <v>17666</v>
      </c>
      <c r="L118" s="147"/>
      <c r="M118" s="277">
        <v>405609</v>
      </c>
      <c r="N118" s="277">
        <v>311676.842</v>
      </c>
      <c r="O118" s="277">
        <f>G118-SUM(D118:F118)</f>
        <v>0</v>
      </c>
      <c r="P118" s="277">
        <f>G118-H118-I118</f>
        <v>0</v>
      </c>
      <c r="Q118" s="277">
        <f>I118-J118-K118</f>
        <v>0</v>
      </c>
    </row>
    <row r="119" spans="1:17" s="280" customFormat="1" ht="31.5" x14ac:dyDescent="0.25">
      <c r="A119" s="153" t="s">
        <v>174</v>
      </c>
      <c r="B119" s="152" t="s">
        <v>595</v>
      </c>
      <c r="C119" s="151"/>
      <c r="D119" s="146"/>
      <c r="E119" s="146">
        <v>33804</v>
      </c>
      <c r="F119" s="146"/>
      <c r="G119" s="146">
        <f t="shared" ref="G119:G120" si="129">SUM(D119:F119)</f>
        <v>33804</v>
      </c>
      <c r="H119" s="146">
        <f>5637+16398-0.158</f>
        <v>22034.842000000001</v>
      </c>
      <c r="I119" s="146">
        <f t="shared" ref="I119:I120" si="130">G119-H119</f>
        <v>11769.157999999999</v>
      </c>
      <c r="J119" s="146">
        <f t="shared" si="102"/>
        <v>11769.157999999999</v>
      </c>
      <c r="K119" s="146"/>
      <c r="L119" s="150"/>
      <c r="M119" s="279">
        <f>G118-M118</f>
        <v>0</v>
      </c>
      <c r="N119" s="279">
        <f>H118-N118</f>
        <v>0</v>
      </c>
    </row>
    <row r="120" spans="1:17" s="280" customFormat="1" x14ac:dyDescent="0.25">
      <c r="A120" s="153" t="s">
        <v>174</v>
      </c>
      <c r="B120" s="152" t="s">
        <v>182</v>
      </c>
      <c r="C120" s="151"/>
      <c r="D120" s="146"/>
      <c r="E120" s="146">
        <v>12960</v>
      </c>
      <c r="F120" s="146"/>
      <c r="G120" s="146">
        <f t="shared" si="129"/>
        <v>12960</v>
      </c>
      <c r="H120" s="146"/>
      <c r="I120" s="146">
        <f t="shared" si="130"/>
        <v>12960</v>
      </c>
      <c r="J120" s="146">
        <f t="shared" si="102"/>
        <v>0</v>
      </c>
      <c r="K120" s="146">
        <f>I120</f>
        <v>12960</v>
      </c>
      <c r="L120" s="150"/>
      <c r="M120" s="279"/>
      <c r="N120" s="279"/>
    </row>
    <row r="121" spans="1:17" s="280" customFormat="1" x14ac:dyDescent="0.25">
      <c r="A121" s="153" t="s">
        <v>174</v>
      </c>
      <c r="B121" s="152" t="s">
        <v>184</v>
      </c>
      <c r="C121" s="151"/>
      <c r="D121" s="146"/>
      <c r="E121" s="146">
        <v>46400</v>
      </c>
      <c r="F121" s="146"/>
      <c r="G121" s="146">
        <f t="shared" ref="G121:G122" si="131">SUM(D121:F121)</f>
        <v>46400</v>
      </c>
      <c r="H121" s="146">
        <v>45282</v>
      </c>
      <c r="I121" s="146">
        <f t="shared" ref="I121:I123" si="132">G121-H121</f>
        <v>1118</v>
      </c>
      <c r="J121" s="146">
        <f t="shared" si="102"/>
        <v>0</v>
      </c>
      <c r="K121" s="146">
        <f>I121</f>
        <v>1118</v>
      </c>
      <c r="L121" s="150"/>
      <c r="M121" s="279"/>
      <c r="N121" s="279"/>
    </row>
    <row r="122" spans="1:17" s="280" customFormat="1" x14ac:dyDescent="0.25">
      <c r="A122" s="153" t="s">
        <v>174</v>
      </c>
      <c r="B122" s="152" t="s">
        <v>185</v>
      </c>
      <c r="C122" s="151"/>
      <c r="D122" s="146"/>
      <c r="E122" s="146">
        <v>308000</v>
      </c>
      <c r="F122" s="146"/>
      <c r="G122" s="146">
        <f t="shared" si="131"/>
        <v>308000</v>
      </c>
      <c r="H122" s="146">
        <v>244360</v>
      </c>
      <c r="I122" s="146">
        <f t="shared" si="132"/>
        <v>63640</v>
      </c>
      <c r="J122" s="146">
        <f t="shared" si="102"/>
        <v>60052</v>
      </c>
      <c r="K122" s="146">
        <v>3588</v>
      </c>
      <c r="L122" s="150"/>
      <c r="M122" s="279"/>
      <c r="N122" s="311" t="s">
        <v>722</v>
      </c>
    </row>
    <row r="123" spans="1:17" s="280" customFormat="1" ht="31.5" x14ac:dyDescent="0.25">
      <c r="A123" s="153" t="s">
        <v>174</v>
      </c>
      <c r="B123" s="152" t="s">
        <v>309</v>
      </c>
      <c r="C123" s="151"/>
      <c r="D123" s="146"/>
      <c r="E123" s="146"/>
      <c r="F123" s="146">
        <v>4445</v>
      </c>
      <c r="G123" s="146">
        <f t="shared" ref="G123" si="133">SUM(D123:F123)</f>
        <v>4445</v>
      </c>
      <c r="H123" s="146"/>
      <c r="I123" s="146">
        <f t="shared" si="132"/>
        <v>4445</v>
      </c>
      <c r="J123" s="146">
        <f t="shared" si="102"/>
        <v>4445</v>
      </c>
      <c r="K123" s="146"/>
      <c r="L123" s="150"/>
      <c r="M123" s="279"/>
      <c r="N123" s="279"/>
    </row>
    <row r="124" spans="1:17" s="278" customFormat="1" x14ac:dyDescent="0.25">
      <c r="A124" s="147">
        <v>33</v>
      </c>
      <c r="B124" s="283" t="s">
        <v>218</v>
      </c>
      <c r="C124" s="148" t="s">
        <v>216</v>
      </c>
      <c r="D124" s="149">
        <f t="shared" ref="D124:K124" si="134">SUM(D125:D128)</f>
        <v>0</v>
      </c>
      <c r="E124" s="149">
        <f t="shared" si="134"/>
        <v>457960</v>
      </c>
      <c r="F124" s="149">
        <f t="shared" si="134"/>
        <v>14950</v>
      </c>
      <c r="G124" s="149">
        <f t="shared" si="134"/>
        <v>472910</v>
      </c>
      <c r="H124" s="149">
        <f t="shared" si="134"/>
        <v>264872.40000000002</v>
      </c>
      <c r="I124" s="149">
        <f t="shared" si="134"/>
        <v>208037.6</v>
      </c>
      <c r="J124" s="149">
        <f t="shared" si="134"/>
        <v>108912</v>
      </c>
      <c r="K124" s="149">
        <f t="shared" si="134"/>
        <v>99125.6</v>
      </c>
      <c r="L124" s="147"/>
      <c r="M124" s="277">
        <v>472910</v>
      </c>
      <c r="N124" s="277">
        <v>264872.40000000002</v>
      </c>
      <c r="O124" s="277">
        <f>G124-SUM(D124:F124)</f>
        <v>0</v>
      </c>
      <c r="P124" s="277">
        <f>G124-H124-I124</f>
        <v>0</v>
      </c>
      <c r="Q124" s="277">
        <f>I124-J124-K124</f>
        <v>0</v>
      </c>
    </row>
    <row r="125" spans="1:17" s="280" customFormat="1" ht="31.5" x14ac:dyDescent="0.25">
      <c r="A125" s="153" t="s">
        <v>174</v>
      </c>
      <c r="B125" s="152" t="s">
        <v>595</v>
      </c>
      <c r="C125" s="151"/>
      <c r="D125" s="146"/>
      <c r="E125" s="146">
        <v>46260</v>
      </c>
      <c r="F125" s="146"/>
      <c r="G125" s="146">
        <f t="shared" ref="G125:G127" si="135">SUM(D125:F125)</f>
        <v>46260</v>
      </c>
      <c r="H125" s="146">
        <v>22298</v>
      </c>
      <c r="I125" s="146">
        <f t="shared" ref="I125:I127" si="136">G125-H125</f>
        <v>23962</v>
      </c>
      <c r="J125" s="146">
        <f t="shared" si="102"/>
        <v>23962</v>
      </c>
      <c r="K125" s="146"/>
      <c r="L125" s="150"/>
      <c r="M125" s="279">
        <f>G124-M124</f>
        <v>0</v>
      </c>
      <c r="N125" s="279">
        <f>H124-N124</f>
        <v>0</v>
      </c>
    </row>
    <row r="126" spans="1:17" s="280" customFormat="1" x14ac:dyDescent="0.25">
      <c r="A126" s="153" t="s">
        <v>174</v>
      </c>
      <c r="B126" s="152" t="s">
        <v>184</v>
      </c>
      <c r="C126" s="151"/>
      <c r="D126" s="146"/>
      <c r="E126" s="146">
        <v>33700</v>
      </c>
      <c r="F126" s="146"/>
      <c r="G126" s="146">
        <f t="shared" si="135"/>
        <v>33700</v>
      </c>
      <c r="H126" s="146">
        <v>33684</v>
      </c>
      <c r="I126" s="146">
        <f t="shared" si="136"/>
        <v>16</v>
      </c>
      <c r="J126" s="146">
        <f t="shared" si="102"/>
        <v>0</v>
      </c>
      <c r="K126" s="146">
        <f>I126</f>
        <v>16</v>
      </c>
      <c r="L126" s="150"/>
      <c r="M126" s="279"/>
      <c r="N126" s="279"/>
    </row>
    <row r="127" spans="1:17" s="280" customFormat="1" x14ac:dyDescent="0.25">
      <c r="A127" s="153" t="s">
        <v>174</v>
      </c>
      <c r="B127" s="152" t="s">
        <v>185</v>
      </c>
      <c r="C127" s="151"/>
      <c r="D127" s="154"/>
      <c r="E127" s="146">
        <v>378000</v>
      </c>
      <c r="F127" s="146"/>
      <c r="G127" s="146">
        <f t="shared" si="135"/>
        <v>378000</v>
      </c>
      <c r="H127" s="154">
        <v>208890.4</v>
      </c>
      <c r="I127" s="146">
        <f t="shared" si="136"/>
        <v>169109.6</v>
      </c>
      <c r="J127" s="146">
        <f t="shared" si="102"/>
        <v>70000</v>
      </c>
      <c r="K127" s="154">
        <f>I127-70000</f>
        <v>99109.6</v>
      </c>
      <c r="L127" s="150"/>
      <c r="M127" s="279"/>
      <c r="N127" s="311" t="s">
        <v>721</v>
      </c>
    </row>
    <row r="128" spans="1:17" s="280" customFormat="1" ht="31.5" x14ac:dyDescent="0.25">
      <c r="A128" s="153" t="s">
        <v>174</v>
      </c>
      <c r="B128" s="152" t="s">
        <v>309</v>
      </c>
      <c r="C128" s="151"/>
      <c r="D128" s="146"/>
      <c r="E128" s="146"/>
      <c r="F128" s="146">
        <v>14950</v>
      </c>
      <c r="G128" s="146">
        <f t="shared" ref="G128" si="137">SUM(D128:F128)</f>
        <v>14950</v>
      </c>
      <c r="H128" s="146"/>
      <c r="I128" s="146">
        <f t="shared" ref="I128" si="138">G128-H128</f>
        <v>14950</v>
      </c>
      <c r="J128" s="146">
        <f t="shared" si="102"/>
        <v>14950</v>
      </c>
      <c r="K128" s="146"/>
      <c r="L128" s="150"/>
      <c r="M128" s="279"/>
      <c r="N128" s="279"/>
    </row>
    <row r="129" spans="1:17" s="278" customFormat="1" x14ac:dyDescent="0.25">
      <c r="A129" s="147">
        <v>34</v>
      </c>
      <c r="B129" s="283" t="s">
        <v>219</v>
      </c>
      <c r="C129" s="148" t="s">
        <v>216</v>
      </c>
      <c r="D129" s="149">
        <f t="shared" ref="D129:K129" si="139">SUM(D130:D132)</f>
        <v>0</v>
      </c>
      <c r="E129" s="149">
        <f t="shared" si="139"/>
        <v>260160</v>
      </c>
      <c r="F129" s="149">
        <f t="shared" si="139"/>
        <v>5670</v>
      </c>
      <c r="G129" s="149">
        <f t="shared" si="139"/>
        <v>265830</v>
      </c>
      <c r="H129" s="149">
        <f t="shared" si="139"/>
        <v>242171</v>
      </c>
      <c r="I129" s="149">
        <f t="shared" si="139"/>
        <v>23659</v>
      </c>
      <c r="J129" s="149">
        <f t="shared" si="139"/>
        <v>17190</v>
      </c>
      <c r="K129" s="149">
        <f t="shared" si="139"/>
        <v>6469</v>
      </c>
      <c r="L129" s="147"/>
      <c r="M129" s="277">
        <v>265830</v>
      </c>
      <c r="N129" s="277">
        <v>242171</v>
      </c>
      <c r="O129" s="277">
        <f>G129-SUM(D129:F129)</f>
        <v>0</v>
      </c>
      <c r="P129" s="277">
        <f>G129-H129-I129</f>
        <v>0</v>
      </c>
      <c r="Q129" s="277">
        <f>I129-J129-K129</f>
        <v>0</v>
      </c>
    </row>
    <row r="130" spans="1:17" s="280" customFormat="1" ht="31.5" x14ac:dyDescent="0.25">
      <c r="A130" s="153" t="s">
        <v>174</v>
      </c>
      <c r="B130" s="152" t="s">
        <v>595</v>
      </c>
      <c r="C130" s="151"/>
      <c r="D130" s="146"/>
      <c r="E130" s="146">
        <v>20160</v>
      </c>
      <c r="F130" s="146"/>
      <c r="G130" s="146">
        <f t="shared" ref="G130:G132" si="140">SUM(D130:F130)</f>
        <v>20160</v>
      </c>
      <c r="H130" s="146">
        <v>8640</v>
      </c>
      <c r="I130" s="146">
        <f t="shared" ref="I130:I132" si="141">G130-H130</f>
        <v>11520</v>
      </c>
      <c r="J130" s="146">
        <f t="shared" si="102"/>
        <v>11520</v>
      </c>
      <c r="K130" s="146"/>
      <c r="L130" s="150"/>
      <c r="M130" s="279">
        <f>G129-M129</f>
        <v>0</v>
      </c>
      <c r="N130" s="279">
        <f>H129-N129</f>
        <v>0</v>
      </c>
    </row>
    <row r="131" spans="1:17" s="280" customFormat="1" x14ac:dyDescent="0.25">
      <c r="A131" s="153" t="s">
        <v>174</v>
      </c>
      <c r="B131" s="152" t="s">
        <v>184</v>
      </c>
      <c r="C131" s="151"/>
      <c r="D131" s="146"/>
      <c r="E131" s="146">
        <v>240000</v>
      </c>
      <c r="F131" s="146"/>
      <c r="G131" s="146">
        <f t="shared" si="140"/>
        <v>240000</v>
      </c>
      <c r="H131" s="146">
        <v>233531</v>
      </c>
      <c r="I131" s="146">
        <f t="shared" si="141"/>
        <v>6469</v>
      </c>
      <c r="J131" s="146">
        <f t="shared" si="102"/>
        <v>0</v>
      </c>
      <c r="K131" s="146">
        <f>I131</f>
        <v>6469</v>
      </c>
      <c r="L131" s="150"/>
      <c r="M131" s="279"/>
      <c r="N131" s="279"/>
    </row>
    <row r="132" spans="1:17" s="280" customFormat="1" ht="31.5" x14ac:dyDescent="0.25">
      <c r="A132" s="153" t="s">
        <v>174</v>
      </c>
      <c r="B132" s="152" t="s">
        <v>309</v>
      </c>
      <c r="C132" s="151"/>
      <c r="D132" s="146"/>
      <c r="E132" s="146"/>
      <c r="F132" s="146">
        <v>5670</v>
      </c>
      <c r="G132" s="146">
        <f t="shared" si="140"/>
        <v>5670</v>
      </c>
      <c r="H132" s="146"/>
      <c r="I132" s="146">
        <f t="shared" si="141"/>
        <v>5670</v>
      </c>
      <c r="J132" s="146">
        <f t="shared" ref="J132:J156" si="142">I132-K132</f>
        <v>5670</v>
      </c>
      <c r="K132" s="146"/>
      <c r="L132" s="150"/>
      <c r="M132" s="279"/>
      <c r="N132" s="279"/>
    </row>
    <row r="133" spans="1:17" s="278" customFormat="1" x14ac:dyDescent="0.25">
      <c r="A133" s="147">
        <v>35</v>
      </c>
      <c r="B133" s="283" t="s">
        <v>220</v>
      </c>
      <c r="C133" s="148" t="s">
        <v>216</v>
      </c>
      <c r="D133" s="149">
        <f t="shared" ref="D133:K133" si="143">SUM(D134:D136)</f>
        <v>0</v>
      </c>
      <c r="E133" s="149">
        <f t="shared" si="143"/>
        <v>420100</v>
      </c>
      <c r="F133" s="149">
        <f t="shared" si="143"/>
        <v>5792.5</v>
      </c>
      <c r="G133" s="149">
        <f t="shared" si="143"/>
        <v>425892.5</v>
      </c>
      <c r="H133" s="149">
        <f t="shared" si="143"/>
        <v>402079</v>
      </c>
      <c r="I133" s="149">
        <f t="shared" si="143"/>
        <v>23813.5</v>
      </c>
      <c r="J133" s="149">
        <f t="shared" si="143"/>
        <v>14306.5</v>
      </c>
      <c r="K133" s="149">
        <f t="shared" si="143"/>
        <v>9507</v>
      </c>
      <c r="L133" s="147"/>
      <c r="M133" s="277">
        <v>425892.5</v>
      </c>
      <c r="N133" s="277">
        <v>402079</v>
      </c>
      <c r="O133" s="277">
        <f>G133-SUM(D133:F133)</f>
        <v>0</v>
      </c>
      <c r="P133" s="277">
        <f>G133-H133-I133</f>
        <v>0</v>
      </c>
      <c r="Q133" s="277">
        <f>I133-J133-K133</f>
        <v>0</v>
      </c>
    </row>
    <row r="134" spans="1:17" s="280" customFormat="1" ht="31.5" x14ac:dyDescent="0.25">
      <c r="A134" s="153" t="s">
        <v>174</v>
      </c>
      <c r="B134" s="152" t="s">
        <v>595</v>
      </c>
      <c r="C134" s="151"/>
      <c r="D134" s="146"/>
      <c r="E134" s="146">
        <v>25200</v>
      </c>
      <c r="F134" s="146"/>
      <c r="G134" s="146">
        <f t="shared" ref="G134:G136" si="144">SUM(D134:F134)</f>
        <v>25200</v>
      </c>
      <c r="H134" s="146">
        <v>16686</v>
      </c>
      <c r="I134" s="146">
        <f t="shared" ref="I134:I136" si="145">G134-H134</f>
        <v>8514</v>
      </c>
      <c r="J134" s="146">
        <f t="shared" si="142"/>
        <v>8514</v>
      </c>
      <c r="K134" s="146"/>
      <c r="L134" s="150"/>
      <c r="M134" s="279">
        <f>G133-M133</f>
        <v>0</v>
      </c>
      <c r="N134" s="279">
        <f>H133-N133</f>
        <v>0</v>
      </c>
    </row>
    <row r="135" spans="1:17" s="280" customFormat="1" x14ac:dyDescent="0.25">
      <c r="A135" s="153" t="s">
        <v>174</v>
      </c>
      <c r="B135" s="152" t="s">
        <v>184</v>
      </c>
      <c r="C135" s="151"/>
      <c r="D135" s="146"/>
      <c r="E135" s="146">
        <v>394900</v>
      </c>
      <c r="F135" s="146"/>
      <c r="G135" s="146">
        <f t="shared" si="144"/>
        <v>394900</v>
      </c>
      <c r="H135" s="146">
        <v>385393</v>
      </c>
      <c r="I135" s="146">
        <f t="shared" si="145"/>
        <v>9507</v>
      </c>
      <c r="J135" s="146">
        <f t="shared" si="142"/>
        <v>0</v>
      </c>
      <c r="K135" s="146">
        <f>I135</f>
        <v>9507</v>
      </c>
      <c r="L135" s="150"/>
      <c r="M135" s="279"/>
      <c r="N135" s="279"/>
    </row>
    <row r="136" spans="1:17" s="280" customFormat="1" ht="31.5" x14ac:dyDescent="0.25">
      <c r="A136" s="153" t="s">
        <v>174</v>
      </c>
      <c r="B136" s="152" t="s">
        <v>309</v>
      </c>
      <c r="C136" s="151"/>
      <c r="D136" s="146"/>
      <c r="E136" s="146"/>
      <c r="F136" s="146">
        <v>5792.5</v>
      </c>
      <c r="G136" s="146">
        <f t="shared" si="144"/>
        <v>5792.5</v>
      </c>
      <c r="H136" s="146"/>
      <c r="I136" s="146">
        <f t="shared" si="145"/>
        <v>5792.5</v>
      </c>
      <c r="J136" s="146">
        <f t="shared" si="142"/>
        <v>5792.5</v>
      </c>
      <c r="K136" s="146"/>
      <c r="L136" s="150"/>
      <c r="M136" s="279"/>
      <c r="N136" s="279"/>
    </row>
    <row r="137" spans="1:17" s="278" customFormat="1" x14ac:dyDescent="0.25">
      <c r="A137" s="147">
        <v>36</v>
      </c>
      <c r="B137" s="283" t="s">
        <v>221</v>
      </c>
      <c r="C137" s="148" t="s">
        <v>216</v>
      </c>
      <c r="D137" s="149">
        <f t="shared" ref="D137:K137" si="146">SUM(D138:D140)</f>
        <v>0</v>
      </c>
      <c r="E137" s="149">
        <f t="shared" si="146"/>
        <v>420680</v>
      </c>
      <c r="F137" s="149">
        <f t="shared" si="146"/>
        <v>2415</v>
      </c>
      <c r="G137" s="149">
        <f t="shared" si="146"/>
        <v>423095</v>
      </c>
      <c r="H137" s="149">
        <f t="shared" si="146"/>
        <v>404869</v>
      </c>
      <c r="I137" s="149">
        <f t="shared" si="146"/>
        <v>18226</v>
      </c>
      <c r="J137" s="149">
        <f t="shared" si="146"/>
        <v>7599</v>
      </c>
      <c r="K137" s="149">
        <f t="shared" si="146"/>
        <v>10627</v>
      </c>
      <c r="L137" s="147"/>
      <c r="M137" s="277">
        <v>423095</v>
      </c>
      <c r="N137" s="277">
        <v>404869</v>
      </c>
      <c r="O137" s="277">
        <f>G137-SUM(D137:F137)</f>
        <v>0</v>
      </c>
      <c r="P137" s="277">
        <f>G137-H137-I137</f>
        <v>0</v>
      </c>
      <c r="Q137" s="277">
        <f>I137-J137-K137</f>
        <v>0</v>
      </c>
    </row>
    <row r="138" spans="1:17" s="280" customFormat="1" ht="31.5" x14ac:dyDescent="0.25">
      <c r="A138" s="153" t="s">
        <v>174</v>
      </c>
      <c r="B138" s="152" t="s">
        <v>595</v>
      </c>
      <c r="C138" s="151"/>
      <c r="D138" s="146"/>
      <c r="E138" s="146">
        <v>10080</v>
      </c>
      <c r="F138" s="146"/>
      <c r="G138" s="146">
        <f t="shared" ref="G138:G140" si="147">SUM(D138:F138)</f>
        <v>10080</v>
      </c>
      <c r="H138" s="146">
        <v>4896</v>
      </c>
      <c r="I138" s="146">
        <f t="shared" ref="I138:I140" si="148">G138-H138</f>
        <v>5184</v>
      </c>
      <c r="J138" s="146">
        <f t="shared" si="142"/>
        <v>5184</v>
      </c>
      <c r="K138" s="146"/>
      <c r="L138" s="150"/>
      <c r="M138" s="279">
        <f>G137-M137</f>
        <v>0</v>
      </c>
      <c r="N138" s="279">
        <f>H137-N137</f>
        <v>0</v>
      </c>
    </row>
    <row r="139" spans="1:17" s="280" customFormat="1" ht="18.75" customHeight="1" x14ac:dyDescent="0.25">
      <c r="A139" s="153" t="s">
        <v>174</v>
      </c>
      <c r="B139" s="152" t="s">
        <v>184</v>
      </c>
      <c r="C139" s="151"/>
      <c r="D139" s="146"/>
      <c r="E139" s="146">
        <v>410600</v>
      </c>
      <c r="F139" s="146"/>
      <c r="G139" s="146">
        <f t="shared" si="147"/>
        <v>410600</v>
      </c>
      <c r="H139" s="146">
        <v>399973</v>
      </c>
      <c r="I139" s="146">
        <f t="shared" si="148"/>
        <v>10627</v>
      </c>
      <c r="J139" s="146">
        <f t="shared" si="142"/>
        <v>0</v>
      </c>
      <c r="K139" s="146">
        <f>I139</f>
        <v>10627</v>
      </c>
      <c r="L139" s="150"/>
      <c r="M139" s="279"/>
      <c r="N139" s="279"/>
    </row>
    <row r="140" spans="1:17" s="280" customFormat="1" ht="31.5" x14ac:dyDescent="0.25">
      <c r="A140" s="153" t="s">
        <v>174</v>
      </c>
      <c r="B140" s="152" t="s">
        <v>309</v>
      </c>
      <c r="C140" s="151"/>
      <c r="D140" s="146"/>
      <c r="E140" s="146"/>
      <c r="F140" s="146">
        <v>2415</v>
      </c>
      <c r="G140" s="146">
        <f t="shared" si="147"/>
        <v>2415</v>
      </c>
      <c r="H140" s="146"/>
      <c r="I140" s="146">
        <f t="shared" si="148"/>
        <v>2415</v>
      </c>
      <c r="J140" s="146">
        <f t="shared" si="142"/>
        <v>2415</v>
      </c>
      <c r="K140" s="146"/>
      <c r="L140" s="150"/>
      <c r="M140" s="279"/>
      <c r="N140" s="279"/>
    </row>
    <row r="141" spans="1:17" s="278" customFormat="1" x14ac:dyDescent="0.25">
      <c r="A141" s="147">
        <v>37</v>
      </c>
      <c r="B141" s="283" t="s">
        <v>222</v>
      </c>
      <c r="C141" s="148" t="s">
        <v>216</v>
      </c>
      <c r="D141" s="149">
        <f t="shared" ref="D141:K141" si="149">SUM(D142:D146)</f>
        <v>0</v>
      </c>
      <c r="E141" s="149">
        <f t="shared" si="149"/>
        <v>146072</v>
      </c>
      <c r="F141" s="149">
        <f t="shared" si="149"/>
        <v>12994</v>
      </c>
      <c r="G141" s="149">
        <f t="shared" si="149"/>
        <v>159066</v>
      </c>
      <c r="H141" s="149">
        <f t="shared" si="149"/>
        <v>110778</v>
      </c>
      <c r="I141" s="149">
        <f t="shared" si="149"/>
        <v>48288</v>
      </c>
      <c r="J141" s="149">
        <f t="shared" si="149"/>
        <v>48288</v>
      </c>
      <c r="K141" s="149">
        <f t="shared" si="149"/>
        <v>0</v>
      </c>
      <c r="L141" s="147"/>
      <c r="M141" s="277">
        <v>159066</v>
      </c>
      <c r="N141" s="277">
        <v>110778</v>
      </c>
      <c r="O141" s="277">
        <f>G141-SUM(D141:F141)</f>
        <v>0</v>
      </c>
      <c r="P141" s="277">
        <f>G141-H141-I141</f>
        <v>0</v>
      </c>
      <c r="Q141" s="277">
        <f>I141-J141-K141</f>
        <v>0</v>
      </c>
    </row>
    <row r="142" spans="1:17" s="280" customFormat="1" ht="31.5" x14ac:dyDescent="0.25">
      <c r="A142" s="153" t="s">
        <v>174</v>
      </c>
      <c r="B142" s="152" t="s">
        <v>595</v>
      </c>
      <c r="C142" s="151"/>
      <c r="D142" s="146"/>
      <c r="E142" s="146">
        <v>28512</v>
      </c>
      <c r="F142" s="146"/>
      <c r="G142" s="146">
        <f t="shared" ref="G142:G145" si="150">SUM(D142:F142)</f>
        <v>28512</v>
      </c>
      <c r="H142" s="146">
        <v>11868</v>
      </c>
      <c r="I142" s="146">
        <f t="shared" ref="I142:I146" si="151">G142-H142</f>
        <v>16644</v>
      </c>
      <c r="J142" s="146">
        <f t="shared" si="142"/>
        <v>16644</v>
      </c>
      <c r="K142" s="146"/>
      <c r="L142" s="150"/>
      <c r="M142" s="279">
        <f>G141-M141</f>
        <v>0</v>
      </c>
      <c r="N142" s="279">
        <f>H141-N141</f>
        <v>0</v>
      </c>
    </row>
    <row r="143" spans="1:17" s="280" customFormat="1" x14ac:dyDescent="0.25">
      <c r="A143" s="153" t="s">
        <v>174</v>
      </c>
      <c r="B143" s="152" t="s">
        <v>182</v>
      </c>
      <c r="C143" s="151"/>
      <c r="D143" s="146"/>
      <c r="E143" s="146">
        <v>13960</v>
      </c>
      <c r="F143" s="146"/>
      <c r="G143" s="146">
        <f t="shared" si="150"/>
        <v>13960</v>
      </c>
      <c r="H143" s="146">
        <v>7200</v>
      </c>
      <c r="I143" s="146">
        <f t="shared" si="151"/>
        <v>6760</v>
      </c>
      <c r="J143" s="146">
        <f t="shared" si="142"/>
        <v>6760</v>
      </c>
      <c r="K143" s="146"/>
      <c r="L143" s="150"/>
      <c r="M143" s="279"/>
      <c r="N143" s="279"/>
    </row>
    <row r="144" spans="1:17" s="280" customFormat="1" x14ac:dyDescent="0.25">
      <c r="A144" s="153" t="s">
        <v>174</v>
      </c>
      <c r="B144" s="152" t="s">
        <v>184</v>
      </c>
      <c r="C144" s="151"/>
      <c r="D144" s="146"/>
      <c r="E144" s="146">
        <v>103600</v>
      </c>
      <c r="F144" s="146"/>
      <c r="G144" s="146">
        <f t="shared" si="150"/>
        <v>103600</v>
      </c>
      <c r="H144" s="146">
        <v>85950</v>
      </c>
      <c r="I144" s="146">
        <f t="shared" si="151"/>
        <v>17650</v>
      </c>
      <c r="J144" s="146">
        <f t="shared" si="142"/>
        <v>17650</v>
      </c>
      <c r="K144" s="146"/>
      <c r="L144" s="150"/>
      <c r="M144" s="279"/>
      <c r="N144" s="279"/>
    </row>
    <row r="145" spans="1:17" s="280" customFormat="1" ht="78.75" x14ac:dyDescent="0.25">
      <c r="A145" s="153" t="s">
        <v>174</v>
      </c>
      <c r="B145" s="152" t="s">
        <v>623</v>
      </c>
      <c r="C145" s="151"/>
      <c r="D145" s="146"/>
      <c r="E145" s="146"/>
      <c r="F145" s="146">
        <v>6204</v>
      </c>
      <c r="G145" s="146">
        <f t="shared" si="150"/>
        <v>6204</v>
      </c>
      <c r="H145" s="146"/>
      <c r="I145" s="146">
        <f t="shared" si="151"/>
        <v>6204</v>
      </c>
      <c r="J145" s="146">
        <f t="shared" si="142"/>
        <v>6204</v>
      </c>
      <c r="K145" s="146"/>
      <c r="L145" s="150"/>
      <c r="M145" s="279"/>
      <c r="N145" s="279"/>
    </row>
    <row r="146" spans="1:17" s="280" customFormat="1" ht="31.5" x14ac:dyDescent="0.25">
      <c r="A146" s="153" t="s">
        <v>174</v>
      </c>
      <c r="B146" s="152" t="s">
        <v>309</v>
      </c>
      <c r="C146" s="151"/>
      <c r="D146" s="146"/>
      <c r="E146" s="146"/>
      <c r="F146" s="146">
        <v>6790</v>
      </c>
      <c r="G146" s="146">
        <f t="shared" ref="G146" si="152">SUM(D146:F146)</f>
        <v>6790</v>
      </c>
      <c r="H146" s="146">
        <v>5760</v>
      </c>
      <c r="I146" s="146">
        <f t="shared" si="151"/>
        <v>1030</v>
      </c>
      <c r="J146" s="146">
        <f t="shared" si="142"/>
        <v>1030</v>
      </c>
      <c r="K146" s="146"/>
      <c r="L146" s="150"/>
      <c r="M146" s="279"/>
      <c r="N146" s="279"/>
    </row>
    <row r="147" spans="1:17" s="278" customFormat="1" x14ac:dyDescent="0.25">
      <c r="A147" s="147">
        <v>38</v>
      </c>
      <c r="B147" s="283" t="s">
        <v>223</v>
      </c>
      <c r="C147" s="148" t="s">
        <v>216</v>
      </c>
      <c r="D147" s="149">
        <f t="shared" ref="D147:K147" si="153">SUM(D148:D149)</f>
        <v>0</v>
      </c>
      <c r="E147" s="149">
        <f t="shared" si="153"/>
        <v>20736</v>
      </c>
      <c r="F147" s="149">
        <f t="shared" si="153"/>
        <v>2852.5</v>
      </c>
      <c r="G147" s="149">
        <f t="shared" si="153"/>
        <v>23588.5</v>
      </c>
      <c r="H147" s="149">
        <f t="shared" si="153"/>
        <v>14285.9</v>
      </c>
      <c r="I147" s="149">
        <f t="shared" si="153"/>
        <v>9302.6</v>
      </c>
      <c r="J147" s="149">
        <f t="shared" si="153"/>
        <v>9302.6</v>
      </c>
      <c r="K147" s="149">
        <f t="shared" si="153"/>
        <v>0</v>
      </c>
      <c r="L147" s="147"/>
      <c r="M147" s="277">
        <v>23588.5</v>
      </c>
      <c r="N147" s="277">
        <v>14285.9</v>
      </c>
      <c r="O147" s="277">
        <f>G147-SUM(D147:F147)</f>
        <v>0</v>
      </c>
      <c r="P147" s="277">
        <f>G147-H147-I147</f>
        <v>0</v>
      </c>
      <c r="Q147" s="277">
        <f>I147-J147-K147</f>
        <v>0</v>
      </c>
    </row>
    <row r="148" spans="1:17" s="280" customFormat="1" ht="31.5" x14ac:dyDescent="0.25">
      <c r="A148" s="153" t="s">
        <v>174</v>
      </c>
      <c r="B148" s="152" t="s">
        <v>595</v>
      </c>
      <c r="C148" s="151"/>
      <c r="D148" s="146"/>
      <c r="E148" s="146">
        <v>20736</v>
      </c>
      <c r="F148" s="146"/>
      <c r="G148" s="146">
        <f t="shared" ref="G148:G149" si="154">SUM(D148:F148)</f>
        <v>20736</v>
      </c>
      <c r="H148" s="146">
        <v>11433.4</v>
      </c>
      <c r="I148" s="146">
        <f t="shared" ref="I148:I149" si="155">G148-H148</f>
        <v>9302.6</v>
      </c>
      <c r="J148" s="146">
        <f t="shared" si="142"/>
        <v>9302.6</v>
      </c>
      <c r="K148" s="146"/>
      <c r="L148" s="150"/>
      <c r="M148" s="279">
        <f>G147-M147</f>
        <v>0</v>
      </c>
      <c r="N148" s="279">
        <f>H147-N147</f>
        <v>0</v>
      </c>
    </row>
    <row r="149" spans="1:17" s="280" customFormat="1" ht="31.5" x14ac:dyDescent="0.25">
      <c r="A149" s="153" t="s">
        <v>174</v>
      </c>
      <c r="B149" s="152" t="s">
        <v>309</v>
      </c>
      <c r="C149" s="151"/>
      <c r="D149" s="146"/>
      <c r="E149" s="146"/>
      <c r="F149" s="146">
        <v>2852.5</v>
      </c>
      <c r="G149" s="146">
        <f t="shared" si="154"/>
        <v>2852.5</v>
      </c>
      <c r="H149" s="146">
        <v>2852.5</v>
      </c>
      <c r="I149" s="146">
        <f t="shared" si="155"/>
        <v>0</v>
      </c>
      <c r="J149" s="146">
        <f t="shared" si="142"/>
        <v>0</v>
      </c>
      <c r="K149" s="146"/>
      <c r="L149" s="150"/>
      <c r="M149" s="279"/>
      <c r="N149" s="279"/>
    </row>
    <row r="150" spans="1:17" s="278" customFormat="1" x14ac:dyDescent="0.25">
      <c r="A150" s="147">
        <v>39</v>
      </c>
      <c r="B150" s="283" t="s">
        <v>224</v>
      </c>
      <c r="C150" s="148" t="s">
        <v>216</v>
      </c>
      <c r="D150" s="149">
        <f t="shared" ref="D150:K150" si="156">SUM(D151:D153)</f>
        <v>0</v>
      </c>
      <c r="E150" s="149">
        <f t="shared" si="156"/>
        <v>402640</v>
      </c>
      <c r="F150" s="149">
        <f t="shared" si="156"/>
        <v>2852.5</v>
      </c>
      <c r="G150" s="149">
        <f t="shared" si="156"/>
        <v>405492.5</v>
      </c>
      <c r="H150" s="149">
        <f t="shared" si="156"/>
        <v>386406</v>
      </c>
      <c r="I150" s="149">
        <f t="shared" si="156"/>
        <v>19086.5</v>
      </c>
      <c r="J150" s="149">
        <f t="shared" si="156"/>
        <v>9818.5</v>
      </c>
      <c r="K150" s="149">
        <f t="shared" si="156"/>
        <v>9268</v>
      </c>
      <c r="L150" s="147"/>
      <c r="M150" s="277">
        <v>405492.5</v>
      </c>
      <c r="N150" s="277">
        <v>386406</v>
      </c>
      <c r="O150" s="277">
        <f>G150-SUM(D150:F150)</f>
        <v>0</v>
      </c>
      <c r="P150" s="277">
        <f>G150-H150-I150</f>
        <v>0</v>
      </c>
      <c r="Q150" s="277">
        <f>I150-J150-K150</f>
        <v>0</v>
      </c>
    </row>
    <row r="151" spans="1:17" s="280" customFormat="1" ht="36" customHeight="1" x14ac:dyDescent="0.25">
      <c r="A151" s="153" t="s">
        <v>174</v>
      </c>
      <c r="B151" s="152" t="s">
        <v>595</v>
      </c>
      <c r="C151" s="151"/>
      <c r="D151" s="146"/>
      <c r="E151" s="146">
        <v>17640</v>
      </c>
      <c r="F151" s="146"/>
      <c r="G151" s="146">
        <f t="shared" ref="G151:G153" si="157">SUM(D151:F151)</f>
        <v>17640</v>
      </c>
      <c r="H151" s="146">
        <f>10764-90</f>
        <v>10674</v>
      </c>
      <c r="I151" s="146">
        <f t="shared" ref="I151:I153" si="158">G151-H151</f>
        <v>6966</v>
      </c>
      <c r="J151" s="146">
        <f t="shared" si="142"/>
        <v>6966</v>
      </c>
      <c r="K151" s="146"/>
      <c r="L151" s="150"/>
      <c r="M151" s="279">
        <f>G150-M150</f>
        <v>0</v>
      </c>
      <c r="N151" s="279">
        <f>H150-N150</f>
        <v>0</v>
      </c>
    </row>
    <row r="152" spans="1:17" s="280" customFormat="1" ht="18.75" customHeight="1" x14ac:dyDescent="0.25">
      <c r="A152" s="153" t="s">
        <v>174</v>
      </c>
      <c r="B152" s="152" t="s">
        <v>184</v>
      </c>
      <c r="C152" s="151"/>
      <c r="D152" s="146"/>
      <c r="E152" s="146">
        <v>385000</v>
      </c>
      <c r="F152" s="146"/>
      <c r="G152" s="146">
        <f t="shared" si="157"/>
        <v>385000</v>
      </c>
      <c r="H152" s="146">
        <v>375732</v>
      </c>
      <c r="I152" s="146">
        <f t="shared" si="158"/>
        <v>9268</v>
      </c>
      <c r="J152" s="146">
        <f t="shared" si="142"/>
        <v>0</v>
      </c>
      <c r="K152" s="146">
        <f>I152</f>
        <v>9268</v>
      </c>
      <c r="L152" s="150"/>
      <c r="M152" s="279"/>
      <c r="N152" s="279"/>
    </row>
    <row r="153" spans="1:17" s="280" customFormat="1" ht="31.5" x14ac:dyDescent="0.25">
      <c r="A153" s="153" t="s">
        <v>174</v>
      </c>
      <c r="B153" s="152" t="s">
        <v>309</v>
      </c>
      <c r="C153" s="151"/>
      <c r="D153" s="146"/>
      <c r="E153" s="146"/>
      <c r="F153" s="146">
        <v>2852.5</v>
      </c>
      <c r="G153" s="146">
        <f t="shared" si="157"/>
        <v>2852.5</v>
      </c>
      <c r="H153" s="146"/>
      <c r="I153" s="146">
        <f t="shared" si="158"/>
        <v>2852.5</v>
      </c>
      <c r="J153" s="146">
        <f t="shared" si="142"/>
        <v>2852.5</v>
      </c>
      <c r="K153" s="146"/>
      <c r="L153" s="150"/>
      <c r="M153" s="279"/>
      <c r="N153" s="279"/>
    </row>
    <row r="154" spans="1:17" s="278" customFormat="1" x14ac:dyDescent="0.25">
      <c r="A154" s="147">
        <v>40</v>
      </c>
      <c r="B154" s="283" t="s">
        <v>225</v>
      </c>
      <c r="C154" s="148" t="s">
        <v>216</v>
      </c>
      <c r="D154" s="149">
        <f t="shared" ref="D154:K154" si="159">SUM(D155:D157)</f>
        <v>0</v>
      </c>
      <c r="E154" s="149">
        <f t="shared" si="159"/>
        <v>41112</v>
      </c>
      <c r="F154" s="149">
        <f t="shared" si="159"/>
        <v>5740</v>
      </c>
      <c r="G154" s="149">
        <f t="shared" si="159"/>
        <v>46852</v>
      </c>
      <c r="H154" s="149">
        <f t="shared" si="159"/>
        <v>16352</v>
      </c>
      <c r="I154" s="149">
        <f t="shared" si="159"/>
        <v>30500</v>
      </c>
      <c r="J154" s="149">
        <f t="shared" si="159"/>
        <v>30500</v>
      </c>
      <c r="K154" s="149">
        <f t="shared" si="159"/>
        <v>0</v>
      </c>
      <c r="L154" s="147"/>
      <c r="M154" s="277">
        <v>46852</v>
      </c>
      <c r="N154" s="277">
        <v>16352</v>
      </c>
      <c r="O154" s="277">
        <f>G154-SUM(D154:F154)</f>
        <v>0</v>
      </c>
      <c r="P154" s="277">
        <f>G154-H154-I154</f>
        <v>0</v>
      </c>
      <c r="Q154" s="277">
        <f>I154-J154-K154</f>
        <v>0</v>
      </c>
    </row>
    <row r="155" spans="1:17" s="280" customFormat="1" ht="31.5" x14ac:dyDescent="0.25">
      <c r="A155" s="153" t="s">
        <v>174</v>
      </c>
      <c r="B155" s="152" t="s">
        <v>595</v>
      </c>
      <c r="C155" s="151"/>
      <c r="D155" s="146"/>
      <c r="E155" s="146">
        <v>28152</v>
      </c>
      <c r="F155" s="146"/>
      <c r="G155" s="146">
        <f t="shared" ref="G155:G157" si="160">SUM(D155:F155)</f>
        <v>28152</v>
      </c>
      <c r="H155" s="146">
        <v>16352</v>
      </c>
      <c r="I155" s="146">
        <f t="shared" ref="I155:I157" si="161">G155-H155</f>
        <v>11800</v>
      </c>
      <c r="J155" s="146">
        <f t="shared" si="142"/>
        <v>11800</v>
      </c>
      <c r="K155" s="146"/>
      <c r="L155" s="150"/>
      <c r="M155" s="279">
        <f>G154-M154</f>
        <v>0</v>
      </c>
      <c r="N155" s="279">
        <f>H154-N154</f>
        <v>0</v>
      </c>
    </row>
    <row r="156" spans="1:17" s="280" customFormat="1" x14ac:dyDescent="0.25">
      <c r="A156" s="153" t="s">
        <v>174</v>
      </c>
      <c r="B156" s="152" t="s">
        <v>182</v>
      </c>
      <c r="C156" s="151"/>
      <c r="D156" s="146"/>
      <c r="E156" s="146">
        <v>12960</v>
      </c>
      <c r="F156" s="146"/>
      <c r="G156" s="146">
        <f t="shared" si="160"/>
        <v>12960</v>
      </c>
      <c r="H156" s="146"/>
      <c r="I156" s="146">
        <f t="shared" si="161"/>
        <v>12960</v>
      </c>
      <c r="J156" s="146">
        <f t="shared" si="142"/>
        <v>12960</v>
      </c>
      <c r="K156" s="146"/>
      <c r="L156" s="150"/>
      <c r="M156" s="279"/>
      <c r="N156" s="279"/>
    </row>
    <row r="157" spans="1:17" s="280" customFormat="1" ht="31.5" x14ac:dyDescent="0.25">
      <c r="A157" s="153" t="s">
        <v>174</v>
      </c>
      <c r="B157" s="152" t="s">
        <v>309</v>
      </c>
      <c r="C157" s="151"/>
      <c r="D157" s="146"/>
      <c r="E157" s="146"/>
      <c r="F157" s="146">
        <v>5740</v>
      </c>
      <c r="G157" s="146">
        <f t="shared" si="160"/>
        <v>5740</v>
      </c>
      <c r="H157" s="146"/>
      <c r="I157" s="146">
        <f t="shared" si="161"/>
        <v>5740</v>
      </c>
      <c r="J157" s="146">
        <f t="shared" ref="J157:J162" si="162">I157-K157</f>
        <v>5740</v>
      </c>
      <c r="K157" s="146"/>
      <c r="L157" s="150"/>
      <c r="M157" s="279"/>
      <c r="N157" s="279"/>
    </row>
    <row r="158" spans="1:17" s="278" customFormat="1" x14ac:dyDescent="0.25">
      <c r="A158" s="147">
        <v>41</v>
      </c>
      <c r="B158" s="283" t="s">
        <v>226</v>
      </c>
      <c r="C158" s="148" t="s">
        <v>216</v>
      </c>
      <c r="D158" s="149">
        <f t="shared" ref="D158:K158" si="163">SUM(D159:D162)</f>
        <v>0</v>
      </c>
      <c r="E158" s="149">
        <f t="shared" si="163"/>
        <v>466380</v>
      </c>
      <c r="F158" s="149">
        <f t="shared" si="163"/>
        <v>-64110.8</v>
      </c>
      <c r="G158" s="149">
        <f t="shared" si="163"/>
        <v>402269.2</v>
      </c>
      <c r="H158" s="149">
        <f t="shared" si="163"/>
        <v>402269.2</v>
      </c>
      <c r="I158" s="149">
        <f t="shared" si="163"/>
        <v>0</v>
      </c>
      <c r="J158" s="149">
        <f t="shared" si="163"/>
        <v>0</v>
      </c>
      <c r="K158" s="149">
        <f t="shared" si="163"/>
        <v>0</v>
      </c>
      <c r="L158" s="147"/>
      <c r="M158" s="277">
        <v>402269.2</v>
      </c>
      <c r="N158" s="277">
        <v>402269.2</v>
      </c>
      <c r="O158" s="277">
        <f>G158-SUM(D158:F158)</f>
        <v>0</v>
      </c>
      <c r="P158" s="277">
        <f>G158-H158-I158</f>
        <v>0</v>
      </c>
      <c r="Q158" s="277">
        <f>I158-J158-K158</f>
        <v>0</v>
      </c>
    </row>
    <row r="159" spans="1:17" s="280" customFormat="1" ht="31.5" x14ac:dyDescent="0.25">
      <c r="A159" s="153" t="s">
        <v>174</v>
      </c>
      <c r="B159" s="152" t="s">
        <v>595</v>
      </c>
      <c r="C159" s="151"/>
      <c r="D159" s="146"/>
      <c r="E159" s="146">
        <v>10080</v>
      </c>
      <c r="F159" s="146"/>
      <c r="G159" s="146">
        <f t="shared" ref="G159:G162" si="164">SUM(D159:F159)</f>
        <v>10080</v>
      </c>
      <c r="H159" s="146">
        <f>G159</f>
        <v>10080</v>
      </c>
      <c r="I159" s="146">
        <f t="shared" ref="I159:I162" si="165">G159-H159</f>
        <v>0</v>
      </c>
      <c r="J159" s="146">
        <f t="shared" si="162"/>
        <v>0</v>
      </c>
      <c r="K159" s="146"/>
      <c r="L159" s="150"/>
      <c r="M159" s="279">
        <f>G158-M158</f>
        <v>0</v>
      </c>
      <c r="N159" s="279">
        <f>H158-N158</f>
        <v>0</v>
      </c>
    </row>
    <row r="160" spans="1:17" s="280" customFormat="1" x14ac:dyDescent="0.25">
      <c r="A160" s="153" t="s">
        <v>174</v>
      </c>
      <c r="B160" s="152" t="s">
        <v>184</v>
      </c>
      <c r="C160" s="151"/>
      <c r="D160" s="146"/>
      <c r="E160" s="146">
        <v>312300</v>
      </c>
      <c r="F160" s="146">
        <f>-66718.3</f>
        <v>-66718.3</v>
      </c>
      <c r="G160" s="146">
        <f t="shared" si="164"/>
        <v>245581.7</v>
      </c>
      <c r="H160" s="146">
        <f>G160</f>
        <v>245581.7</v>
      </c>
      <c r="I160" s="146">
        <f t="shared" si="165"/>
        <v>0</v>
      </c>
      <c r="J160" s="146">
        <f t="shared" si="162"/>
        <v>0</v>
      </c>
      <c r="K160" s="146"/>
      <c r="L160" s="150"/>
      <c r="M160" s="279"/>
      <c r="N160" s="279"/>
    </row>
    <row r="161" spans="1:17" s="280" customFormat="1" x14ac:dyDescent="0.25">
      <c r="A161" s="153" t="s">
        <v>174</v>
      </c>
      <c r="B161" s="152" t="s">
        <v>185</v>
      </c>
      <c r="C161" s="151"/>
      <c r="D161" s="146"/>
      <c r="E161" s="146">
        <v>144000</v>
      </c>
      <c r="F161" s="146"/>
      <c r="G161" s="146">
        <f t="shared" si="164"/>
        <v>144000</v>
      </c>
      <c r="H161" s="146">
        <f>G161</f>
        <v>144000</v>
      </c>
      <c r="I161" s="146">
        <f t="shared" si="165"/>
        <v>0</v>
      </c>
      <c r="J161" s="146">
        <f t="shared" si="162"/>
        <v>0</v>
      </c>
      <c r="K161" s="146"/>
      <c r="L161" s="150"/>
      <c r="M161" s="279"/>
      <c r="N161" s="279"/>
    </row>
    <row r="162" spans="1:17" s="280" customFormat="1" ht="31.5" x14ac:dyDescent="0.25">
      <c r="A162" s="153" t="s">
        <v>174</v>
      </c>
      <c r="B162" s="152" t="s">
        <v>309</v>
      </c>
      <c r="C162" s="151"/>
      <c r="D162" s="146"/>
      <c r="E162" s="146"/>
      <c r="F162" s="146">
        <v>2607.5</v>
      </c>
      <c r="G162" s="146">
        <f t="shared" si="164"/>
        <v>2607.5</v>
      </c>
      <c r="H162" s="146">
        <f>G162</f>
        <v>2607.5</v>
      </c>
      <c r="I162" s="146">
        <f t="shared" si="165"/>
        <v>0</v>
      </c>
      <c r="J162" s="146">
        <f t="shared" si="162"/>
        <v>0</v>
      </c>
      <c r="K162" s="146"/>
      <c r="L162" s="150"/>
      <c r="M162" s="279"/>
      <c r="N162" s="279"/>
    </row>
    <row r="163" spans="1:17" s="278" customFormat="1" x14ac:dyDescent="0.25">
      <c r="A163" s="147">
        <v>42</v>
      </c>
      <c r="B163" s="283" t="s">
        <v>631</v>
      </c>
      <c r="C163" s="148" t="s">
        <v>200</v>
      </c>
      <c r="D163" s="149">
        <f t="shared" ref="D163:K163" si="166">SUM(D164:D167)</f>
        <v>0</v>
      </c>
      <c r="E163" s="149">
        <f t="shared" si="166"/>
        <v>75130</v>
      </c>
      <c r="F163" s="149">
        <f t="shared" si="166"/>
        <v>0</v>
      </c>
      <c r="G163" s="149">
        <f t="shared" si="166"/>
        <v>75130</v>
      </c>
      <c r="H163" s="149">
        <f t="shared" si="166"/>
        <v>0</v>
      </c>
      <c r="I163" s="149">
        <f t="shared" si="166"/>
        <v>75130</v>
      </c>
      <c r="J163" s="149">
        <f t="shared" si="166"/>
        <v>75130</v>
      </c>
      <c r="K163" s="149">
        <f t="shared" si="166"/>
        <v>0</v>
      </c>
      <c r="L163" s="147"/>
      <c r="M163" s="277">
        <v>75130</v>
      </c>
      <c r="N163" s="277">
        <v>0</v>
      </c>
      <c r="O163" s="277">
        <f>G163-SUM(D163:F163)</f>
        <v>0</v>
      </c>
      <c r="P163" s="277">
        <f>G163-H163-I163</f>
        <v>0</v>
      </c>
      <c r="Q163" s="277">
        <f>I163-J163-K163</f>
        <v>0</v>
      </c>
    </row>
    <row r="164" spans="1:17" s="280" customFormat="1" ht="31.5" x14ac:dyDescent="0.25">
      <c r="A164" s="153" t="s">
        <v>174</v>
      </c>
      <c r="B164" s="152" t="s">
        <v>595</v>
      </c>
      <c r="C164" s="151"/>
      <c r="D164" s="146"/>
      <c r="E164" s="146">
        <v>17130</v>
      </c>
      <c r="F164" s="146"/>
      <c r="G164" s="146">
        <f t="shared" ref="G164:G165" si="167">SUM(D164:F164)</f>
        <v>17130</v>
      </c>
      <c r="H164" s="146"/>
      <c r="I164" s="146">
        <f t="shared" ref="I164:I165" si="168">G164-H164</f>
        <v>17130</v>
      </c>
      <c r="J164" s="146">
        <f t="shared" ref="J164:J165" si="169">I164-K164</f>
        <v>17130</v>
      </c>
      <c r="K164" s="146"/>
      <c r="L164" s="150"/>
      <c r="M164" s="279">
        <f>G163-M163</f>
        <v>0</v>
      </c>
      <c r="N164" s="279">
        <f>H163-N163</f>
        <v>0</v>
      </c>
    </row>
    <row r="165" spans="1:17" s="280" customFormat="1" x14ac:dyDescent="0.25">
      <c r="A165" s="153" t="s">
        <v>174</v>
      </c>
      <c r="B165" s="152" t="s">
        <v>184</v>
      </c>
      <c r="C165" s="151"/>
      <c r="D165" s="146"/>
      <c r="E165" s="146">
        <v>58000</v>
      </c>
      <c r="F165" s="146"/>
      <c r="G165" s="146">
        <f t="shared" si="167"/>
        <v>58000</v>
      </c>
      <c r="H165" s="146"/>
      <c r="I165" s="146">
        <f t="shared" si="168"/>
        <v>58000</v>
      </c>
      <c r="J165" s="146">
        <f t="shared" si="169"/>
        <v>58000</v>
      </c>
      <c r="K165" s="146"/>
      <c r="L165" s="150"/>
      <c r="M165" s="279"/>
      <c r="N165" s="279"/>
    </row>
    <row r="166" spans="1:17" ht="7.5" customHeight="1" x14ac:dyDescent="0.25">
      <c r="A166" s="117" t="s">
        <v>174</v>
      </c>
      <c r="B166" s="312"/>
      <c r="C166" s="119"/>
      <c r="D166" s="118"/>
      <c r="E166" s="118"/>
      <c r="F166" s="118"/>
      <c r="G166" s="310">
        <f t="shared" ref="G166" si="170">SUM(D166:F166)</f>
        <v>0</v>
      </c>
      <c r="H166" s="120"/>
      <c r="I166" s="120">
        <f t="shared" ref="I166" si="171">G166-H166</f>
        <v>0</v>
      </c>
      <c r="J166" s="118"/>
      <c r="K166" s="118"/>
      <c r="L166" s="118"/>
    </row>
    <row r="168" spans="1:17" x14ac:dyDescent="0.25">
      <c r="G168" s="145">
        <f>12665261.7-G4</f>
        <v>0</v>
      </c>
      <c r="H168" s="145">
        <f>10405075.042-H4</f>
        <v>0</v>
      </c>
      <c r="I168" s="145">
        <f>2260186.658-I4</f>
        <v>0</v>
      </c>
    </row>
  </sheetData>
  <mergeCells count="9">
    <mergeCell ref="M1:N1"/>
    <mergeCell ref="I1:I2"/>
    <mergeCell ref="J1:K1"/>
    <mergeCell ref="L1:L2"/>
    <mergeCell ref="A1:A2"/>
    <mergeCell ref="B1:B2"/>
    <mergeCell ref="C1:C2"/>
    <mergeCell ref="D1:G1"/>
    <mergeCell ref="H1:H2"/>
  </mergeCells>
  <pageMargins left="0.7" right="0.7" top="0.75" bottom="0.75" header="0.3" footer="0.3"/>
  <pageSetup orientation="portrait"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72"/>
  <sheetViews>
    <sheetView topLeftCell="A6" workbookViewId="0">
      <pane xSplit="2" ySplit="2" topLeftCell="G95" activePane="bottomRight" state="frozen"/>
      <selection activeCell="A6" sqref="A6"/>
      <selection pane="topRight" activeCell="C6" sqref="C6"/>
      <selection pane="bottomLeft" activeCell="A8" sqref="A8"/>
      <selection pane="bottomRight" activeCell="L99" sqref="L99"/>
    </sheetView>
  </sheetViews>
  <sheetFormatPr defaultRowHeight="15.75" x14ac:dyDescent="0.25"/>
  <cols>
    <col min="1" max="1" width="4.875" style="79" bestFit="1" customWidth="1"/>
    <col min="2" max="2" width="52" style="13" customWidth="1"/>
    <col min="3" max="3" width="6.375" style="13" bestFit="1" customWidth="1"/>
    <col min="4" max="4" width="11.625" style="75" bestFit="1" customWidth="1"/>
    <col min="5" max="5" width="11.875" style="75" bestFit="1" customWidth="1"/>
    <col min="6" max="6" width="12" style="75" customWidth="1"/>
    <col min="7" max="7" width="10.875" style="75" bestFit="1" customWidth="1"/>
    <col min="8" max="8" width="12" style="75" customWidth="1"/>
    <col min="9" max="9" width="10.875" style="75" bestFit="1" customWidth="1"/>
    <col min="10" max="10" width="12.125" style="76" bestFit="1" customWidth="1"/>
    <col min="11" max="11" width="12.125" style="76" customWidth="1"/>
    <col min="12" max="12" width="11.125" style="13" bestFit="1" customWidth="1"/>
    <col min="13" max="13" width="11.5" style="13" customWidth="1"/>
    <col min="14" max="14" width="4.875" style="13" bestFit="1" customWidth="1"/>
    <col min="15" max="15" width="13.125" style="13" bestFit="1" customWidth="1"/>
    <col min="16" max="16384" width="9" style="13"/>
  </cols>
  <sheetData>
    <row r="1" spans="1:15" x14ac:dyDescent="0.25">
      <c r="A1" s="2" t="s">
        <v>158</v>
      </c>
    </row>
    <row r="2" spans="1:15" s="1" customFormat="1" ht="18.75" x14ac:dyDescent="0.25">
      <c r="A2" s="133" t="s">
        <v>159</v>
      </c>
      <c r="B2" s="80"/>
      <c r="C2" s="80"/>
      <c r="D2" s="80"/>
      <c r="E2" s="80"/>
      <c r="F2" s="80"/>
      <c r="G2" s="80"/>
      <c r="H2" s="80"/>
      <c r="I2" s="80"/>
      <c r="J2" s="80"/>
      <c r="K2" s="80"/>
    </row>
    <row r="3" spans="1:15" s="1" customFormat="1" ht="19.899999999999999" customHeight="1" x14ac:dyDescent="0.25">
      <c r="A3" s="356" t="s">
        <v>160</v>
      </c>
      <c r="B3" s="356"/>
      <c r="C3" s="356"/>
      <c r="D3" s="356"/>
      <c r="E3" s="356"/>
      <c r="F3" s="356"/>
      <c r="G3" s="356"/>
      <c r="H3" s="356"/>
      <c r="I3" s="356"/>
      <c r="J3" s="356"/>
      <c r="K3" s="81"/>
    </row>
    <row r="4" spans="1:15" s="1" customFormat="1" ht="15" customHeight="1" x14ac:dyDescent="0.25">
      <c r="A4" s="357" t="s">
        <v>157</v>
      </c>
      <c r="B4" s="358"/>
      <c r="C4" s="358"/>
      <c r="D4" s="358"/>
      <c r="E4" s="358"/>
      <c r="F4" s="358"/>
      <c r="G4" s="358"/>
      <c r="H4" s="358"/>
      <c r="I4" s="358"/>
      <c r="J4" s="358"/>
      <c r="K4" s="83"/>
    </row>
    <row r="5" spans="1:15" s="1" customFormat="1" ht="15" customHeight="1" x14ac:dyDescent="0.25">
      <c r="A5" s="82"/>
      <c r="B5" s="83"/>
      <c r="C5" s="83"/>
      <c r="D5" s="364" t="s">
        <v>0</v>
      </c>
      <c r="E5" s="364"/>
      <c r="F5" s="364"/>
      <c r="G5" s="364"/>
      <c r="H5" s="364"/>
      <c r="I5" s="364"/>
      <c r="J5" s="364"/>
      <c r="K5" s="85"/>
    </row>
    <row r="6" spans="1:15" s="1" customFormat="1" ht="15" customHeight="1" x14ac:dyDescent="0.25">
      <c r="A6" s="349" t="s">
        <v>1</v>
      </c>
      <c r="B6" s="349" t="s">
        <v>2</v>
      </c>
      <c r="C6" s="349" t="s">
        <v>161</v>
      </c>
      <c r="D6" s="349" t="s">
        <v>164</v>
      </c>
      <c r="E6" s="349"/>
      <c r="F6" s="349"/>
      <c r="G6" s="349"/>
      <c r="H6" s="349" t="s">
        <v>168</v>
      </c>
      <c r="I6" s="349" t="s">
        <v>169</v>
      </c>
      <c r="J6" s="359" t="s">
        <v>170</v>
      </c>
      <c r="K6" s="359"/>
      <c r="L6" s="349" t="s">
        <v>173</v>
      </c>
    </row>
    <row r="7" spans="1:15" s="2" customFormat="1" ht="47.25" x14ac:dyDescent="0.25">
      <c r="A7" s="349"/>
      <c r="B7" s="349"/>
      <c r="C7" s="349"/>
      <c r="D7" s="84" t="s">
        <v>163</v>
      </c>
      <c r="E7" s="84" t="s">
        <v>166</v>
      </c>
      <c r="F7" s="84" t="s">
        <v>165</v>
      </c>
      <c r="G7" s="84" t="s">
        <v>167</v>
      </c>
      <c r="H7" s="349"/>
      <c r="I7" s="349"/>
      <c r="J7" s="84" t="s">
        <v>171</v>
      </c>
      <c r="K7" s="84" t="s">
        <v>172</v>
      </c>
      <c r="L7" s="349"/>
    </row>
    <row r="8" spans="1:15" s="6" customFormat="1" x14ac:dyDescent="0.25">
      <c r="A8" s="3" t="s">
        <v>3</v>
      </c>
      <c r="B8" s="4" t="s">
        <v>4</v>
      </c>
      <c r="C8" s="4" t="s">
        <v>162</v>
      </c>
      <c r="D8" s="4">
        <v>1</v>
      </c>
      <c r="E8" s="4">
        <v>2</v>
      </c>
      <c r="F8" s="4">
        <v>3</v>
      </c>
      <c r="G8" s="4" t="s">
        <v>177</v>
      </c>
      <c r="H8" s="4">
        <v>5</v>
      </c>
      <c r="I8" s="4" t="s">
        <v>178</v>
      </c>
      <c r="J8" s="4">
        <v>7</v>
      </c>
      <c r="K8" s="90" t="s">
        <v>179</v>
      </c>
      <c r="L8" s="5"/>
      <c r="O8" s="7"/>
    </row>
    <row r="9" spans="1:15" s="22" customFormat="1" ht="18.75" customHeight="1" x14ac:dyDescent="0.25">
      <c r="A9" s="97"/>
      <c r="B9" s="97" t="s">
        <v>180</v>
      </c>
      <c r="C9" s="15"/>
      <c r="D9" s="16">
        <f t="shared" ref="D9:L9" si="0">D10+D30+D46+D57+D72+D84+D96+D108+D117+D126+D137+D153</f>
        <v>0</v>
      </c>
      <c r="E9" s="16">
        <f t="shared" si="0"/>
        <v>38792995</v>
      </c>
      <c r="F9" s="16">
        <f t="shared" si="0"/>
        <v>29548106</v>
      </c>
      <c r="G9" s="16">
        <f t="shared" si="0"/>
        <v>68341101</v>
      </c>
      <c r="H9" s="16">
        <f t="shared" si="0"/>
        <v>55865273</v>
      </c>
      <c r="I9" s="16">
        <f t="shared" si="0"/>
        <v>12475828</v>
      </c>
      <c r="J9" s="16">
        <f t="shared" si="0"/>
        <v>5854395</v>
      </c>
      <c r="K9" s="16">
        <f t="shared" si="0"/>
        <v>153113</v>
      </c>
      <c r="L9" s="16">
        <f t="shared" si="0"/>
        <v>68192719</v>
      </c>
      <c r="M9" s="54">
        <f>73233618-L9</f>
        <v>5040899</v>
      </c>
      <c r="N9" s="54">
        <f>G9-H9-I9</f>
        <v>0</v>
      </c>
      <c r="O9" s="54">
        <f>I9-J9-K9</f>
        <v>6468320</v>
      </c>
    </row>
    <row r="10" spans="1:15" s="103" customFormat="1" ht="18.75" customHeight="1" x14ac:dyDescent="0.25">
      <c r="A10" s="99">
        <v>1</v>
      </c>
      <c r="B10" s="100" t="s">
        <v>229</v>
      </c>
      <c r="C10" s="100"/>
      <c r="D10" s="101">
        <f>SUM(D11:D29)</f>
        <v>0</v>
      </c>
      <c r="E10" s="101">
        <f t="shared" ref="E10:K10" si="1">SUM(E11:E29)</f>
        <v>4419467</v>
      </c>
      <c r="F10" s="101">
        <f t="shared" si="1"/>
        <v>6933211</v>
      </c>
      <c r="G10" s="101">
        <f t="shared" si="1"/>
        <v>11352678</v>
      </c>
      <c r="H10" s="101">
        <f t="shared" si="1"/>
        <v>8755790</v>
      </c>
      <c r="I10" s="101">
        <f t="shared" si="1"/>
        <v>2596888</v>
      </c>
      <c r="J10" s="101">
        <f t="shared" si="1"/>
        <v>2595204</v>
      </c>
      <c r="K10" s="101">
        <f t="shared" si="1"/>
        <v>1684</v>
      </c>
      <c r="L10" s="102">
        <f>11335848</f>
        <v>11335848</v>
      </c>
      <c r="M10" s="102">
        <f>G29+G152+G167</f>
        <v>6267860</v>
      </c>
    </row>
    <row r="11" spans="1:15" s="2" customFormat="1" ht="33.75" customHeight="1" x14ac:dyDescent="0.25">
      <c r="A11" s="61"/>
      <c r="B11" s="63" t="s">
        <v>232</v>
      </c>
      <c r="C11" s="63">
        <v>338</v>
      </c>
      <c r="D11" s="27"/>
      <c r="E11" s="27"/>
      <c r="F11" s="27">
        <v>19361</v>
      </c>
      <c r="G11" s="27">
        <f>SUM(D11:F11)</f>
        <v>19361</v>
      </c>
      <c r="H11" s="27">
        <f>G11</f>
        <v>19361</v>
      </c>
      <c r="I11" s="27">
        <f>G11-H11</f>
        <v>0</v>
      </c>
      <c r="J11" s="27"/>
      <c r="K11" s="27"/>
      <c r="M11" s="98">
        <f>M9-M10</f>
        <v>-1226961</v>
      </c>
    </row>
    <row r="12" spans="1:15" s="2" customFormat="1" ht="24" customHeight="1" x14ac:dyDescent="0.25">
      <c r="A12" s="61"/>
      <c r="B12" s="63" t="s">
        <v>237</v>
      </c>
      <c r="C12" s="63">
        <v>338</v>
      </c>
      <c r="D12" s="27"/>
      <c r="E12" s="27"/>
      <c r="F12" s="27">
        <v>452000</v>
      </c>
      <c r="G12" s="27">
        <f>SUM(D12:F12)</f>
        <v>452000</v>
      </c>
      <c r="H12" s="27">
        <f>G12</f>
        <v>452000</v>
      </c>
      <c r="I12" s="27">
        <f>G12-H12</f>
        <v>0</v>
      </c>
      <c r="J12" s="27"/>
      <c r="K12" s="27"/>
    </row>
    <row r="13" spans="1:15" ht="19.5" customHeight="1" x14ac:dyDescent="0.25">
      <c r="A13" s="24"/>
      <c r="B13" s="35" t="s">
        <v>245</v>
      </c>
      <c r="C13" s="88">
        <v>428</v>
      </c>
      <c r="D13" s="27"/>
      <c r="E13" s="27"/>
      <c r="F13" s="27">
        <v>19800</v>
      </c>
      <c r="G13" s="27">
        <f t="shared" ref="G13:G17" si="2">SUM(D13:F13)</f>
        <v>19800</v>
      </c>
      <c r="H13" s="27">
        <f>G13</f>
        <v>19800</v>
      </c>
      <c r="I13" s="27">
        <f t="shared" ref="I13:I25" si="3">G13-H13</f>
        <v>0</v>
      </c>
      <c r="J13" s="27"/>
      <c r="K13" s="27"/>
    </row>
    <row r="14" spans="1:15" ht="47.25" x14ac:dyDescent="0.25">
      <c r="A14" s="24"/>
      <c r="B14" s="35" t="s">
        <v>257</v>
      </c>
      <c r="C14" s="88">
        <v>341</v>
      </c>
      <c r="D14" s="27"/>
      <c r="E14" s="27"/>
      <c r="F14" s="27">
        <v>1386000</v>
      </c>
      <c r="G14" s="27">
        <f t="shared" si="2"/>
        <v>1386000</v>
      </c>
      <c r="H14" s="27">
        <v>898470</v>
      </c>
      <c r="I14" s="27">
        <f t="shared" si="3"/>
        <v>487530</v>
      </c>
      <c r="J14" s="27">
        <f>I14</f>
        <v>487530</v>
      </c>
      <c r="K14" s="27"/>
    </row>
    <row r="15" spans="1:15" ht="36.75" customHeight="1" x14ac:dyDescent="0.25">
      <c r="A15" s="24"/>
      <c r="B15" s="35" t="s">
        <v>267</v>
      </c>
      <c r="C15" s="88" t="s">
        <v>258</v>
      </c>
      <c r="D15" s="27"/>
      <c r="E15" s="27"/>
      <c r="F15" s="27">
        <v>35000</v>
      </c>
      <c r="G15" s="27">
        <f t="shared" si="2"/>
        <v>35000</v>
      </c>
      <c r="H15" s="27">
        <f>G15</f>
        <v>35000</v>
      </c>
      <c r="I15" s="27">
        <f t="shared" si="3"/>
        <v>0</v>
      </c>
      <c r="J15" s="27"/>
      <c r="K15" s="27"/>
    </row>
    <row r="16" spans="1:15" ht="31.5" x14ac:dyDescent="0.25">
      <c r="A16" s="24"/>
      <c r="B16" s="35" t="s">
        <v>269</v>
      </c>
      <c r="C16" s="88" t="s">
        <v>258</v>
      </c>
      <c r="D16" s="27"/>
      <c r="E16" s="27"/>
      <c r="F16" s="27">
        <v>4000</v>
      </c>
      <c r="G16" s="27">
        <f t="shared" si="2"/>
        <v>4000</v>
      </c>
      <c r="H16" s="27">
        <f>G16</f>
        <v>4000</v>
      </c>
      <c r="I16" s="27">
        <f t="shared" si="3"/>
        <v>0</v>
      </c>
      <c r="J16" s="27"/>
      <c r="K16" s="27"/>
    </row>
    <row r="17" spans="1:12" ht="36" customHeight="1" x14ac:dyDescent="0.25">
      <c r="A17" s="24"/>
      <c r="B17" s="35" t="s">
        <v>277</v>
      </c>
      <c r="C17" s="88">
        <v>281</v>
      </c>
      <c r="D17" s="27"/>
      <c r="E17" s="27"/>
      <c r="F17" s="27">
        <v>91120</v>
      </c>
      <c r="G17" s="27">
        <f t="shared" si="2"/>
        <v>91120</v>
      </c>
      <c r="H17" s="27">
        <f>G17</f>
        <v>91120</v>
      </c>
      <c r="I17" s="27">
        <f t="shared" si="3"/>
        <v>0</v>
      </c>
      <c r="J17" s="27"/>
      <c r="K17" s="27"/>
    </row>
    <row r="18" spans="1:12" s="22" customFormat="1" ht="35.25" customHeight="1" x14ac:dyDescent="0.25">
      <c r="A18" s="24"/>
      <c r="B18" s="25" t="s">
        <v>278</v>
      </c>
      <c r="C18" s="88"/>
      <c r="D18" s="26"/>
      <c r="E18" s="26"/>
      <c r="F18" s="26">
        <v>25000</v>
      </c>
      <c r="G18" s="26">
        <f t="shared" ref="G18:G25" si="4">SUM(D18:F18)</f>
        <v>25000</v>
      </c>
      <c r="H18" s="26">
        <f>G18</f>
        <v>25000</v>
      </c>
      <c r="I18" s="26">
        <f t="shared" si="3"/>
        <v>0</v>
      </c>
      <c r="J18" s="27"/>
      <c r="K18" s="27"/>
      <c r="L18" s="30"/>
    </row>
    <row r="19" spans="1:12" s="22" customFormat="1" ht="31.5" x14ac:dyDescent="0.25">
      <c r="A19" s="24"/>
      <c r="B19" s="25" t="s">
        <v>279</v>
      </c>
      <c r="C19" s="88">
        <v>428</v>
      </c>
      <c r="D19" s="26"/>
      <c r="E19" s="26"/>
      <c r="F19" s="26">
        <v>41100</v>
      </c>
      <c r="G19" s="26">
        <f t="shared" si="4"/>
        <v>41100</v>
      </c>
      <c r="H19" s="26">
        <f>G19</f>
        <v>41100</v>
      </c>
      <c r="I19" s="26">
        <f t="shared" si="3"/>
        <v>0</v>
      </c>
      <c r="J19" s="27"/>
      <c r="K19" s="27"/>
      <c r="L19" s="30"/>
    </row>
    <row r="20" spans="1:12" s="22" customFormat="1" x14ac:dyDescent="0.25">
      <c r="A20" s="24"/>
      <c r="B20" s="25" t="s">
        <v>282</v>
      </c>
      <c r="C20" s="88"/>
      <c r="D20" s="26"/>
      <c r="E20" s="26"/>
      <c r="F20" s="26"/>
      <c r="G20" s="26">
        <f t="shared" si="4"/>
        <v>0</v>
      </c>
      <c r="H20" s="26"/>
      <c r="I20" s="26">
        <f t="shared" si="3"/>
        <v>0</v>
      </c>
      <c r="J20" s="27"/>
      <c r="K20" s="27"/>
      <c r="L20" s="30"/>
    </row>
    <row r="21" spans="1:12" s="38" customFormat="1" x14ac:dyDescent="0.25">
      <c r="A21" s="36"/>
      <c r="B21" s="122" t="s">
        <v>285</v>
      </c>
      <c r="C21" s="123"/>
      <c r="D21" s="124"/>
      <c r="E21" s="124"/>
      <c r="F21" s="124">
        <v>150000</v>
      </c>
      <c r="G21" s="124">
        <f t="shared" si="4"/>
        <v>150000</v>
      </c>
      <c r="H21" s="124">
        <f>65994+74196+3000+3500+2700</f>
        <v>149390</v>
      </c>
      <c r="I21" s="124">
        <f t="shared" si="3"/>
        <v>610</v>
      </c>
      <c r="J21" s="37">
        <f>I21</f>
        <v>610</v>
      </c>
      <c r="K21" s="37"/>
      <c r="L21" s="125"/>
    </row>
    <row r="22" spans="1:12" s="38" customFormat="1" x14ac:dyDescent="0.25">
      <c r="A22" s="36"/>
      <c r="B22" s="122" t="s">
        <v>284</v>
      </c>
      <c r="C22" s="123"/>
      <c r="D22" s="124"/>
      <c r="E22" s="124"/>
      <c r="F22" s="124">
        <v>275000</v>
      </c>
      <c r="G22" s="124">
        <f t="shared" si="4"/>
        <v>275000</v>
      </c>
      <c r="H22" s="124"/>
      <c r="I22" s="124">
        <f t="shared" si="3"/>
        <v>275000</v>
      </c>
      <c r="J22" s="37">
        <f>I22</f>
        <v>275000</v>
      </c>
      <c r="K22" s="37"/>
      <c r="L22" s="125"/>
    </row>
    <row r="23" spans="1:12" s="38" customFormat="1" x14ac:dyDescent="0.25">
      <c r="A23" s="36"/>
      <c r="B23" s="122" t="s">
        <v>280</v>
      </c>
      <c r="C23" s="123"/>
      <c r="D23" s="124"/>
      <c r="E23" s="124"/>
      <c r="F23" s="124">
        <v>10000</v>
      </c>
      <c r="G23" s="124">
        <f t="shared" si="4"/>
        <v>10000</v>
      </c>
      <c r="H23" s="124">
        <f>G23</f>
        <v>10000</v>
      </c>
      <c r="I23" s="124">
        <f t="shared" si="3"/>
        <v>0</v>
      </c>
      <c r="J23" s="37"/>
      <c r="K23" s="37"/>
      <c r="L23" s="125"/>
    </row>
    <row r="24" spans="1:12" s="38" customFormat="1" x14ac:dyDescent="0.25">
      <c r="A24" s="36"/>
      <c r="B24" s="122" t="s">
        <v>283</v>
      </c>
      <c r="C24" s="123"/>
      <c r="D24" s="124"/>
      <c r="E24" s="124"/>
      <c r="F24" s="124">
        <v>650000</v>
      </c>
      <c r="G24" s="124">
        <f t="shared" si="4"/>
        <v>650000</v>
      </c>
      <c r="H24" s="124">
        <f>G24</f>
        <v>650000</v>
      </c>
      <c r="I24" s="124">
        <f t="shared" si="3"/>
        <v>0</v>
      </c>
      <c r="J24" s="37"/>
      <c r="K24" s="37"/>
      <c r="L24" s="125"/>
    </row>
    <row r="25" spans="1:12" s="38" customFormat="1" x14ac:dyDescent="0.25">
      <c r="A25" s="36"/>
      <c r="B25" s="122" t="s">
        <v>281</v>
      </c>
      <c r="C25" s="123"/>
      <c r="D25" s="124"/>
      <c r="E25" s="124"/>
      <c r="F25" s="124">
        <v>300000</v>
      </c>
      <c r="G25" s="124">
        <f t="shared" si="4"/>
        <v>300000</v>
      </c>
      <c r="H25" s="124">
        <f>G25</f>
        <v>300000</v>
      </c>
      <c r="I25" s="124">
        <f t="shared" si="3"/>
        <v>0</v>
      </c>
      <c r="J25" s="37"/>
      <c r="K25" s="37"/>
      <c r="L25" s="125"/>
    </row>
    <row r="26" spans="1:12" s="22" customFormat="1" x14ac:dyDescent="0.25">
      <c r="A26" s="24"/>
      <c r="B26" s="25" t="s">
        <v>287</v>
      </c>
      <c r="C26" s="88">
        <v>292</v>
      </c>
      <c r="D26" s="26"/>
      <c r="E26" s="26"/>
      <c r="F26" s="26">
        <f>381000+390000</f>
        <v>771000</v>
      </c>
      <c r="G26" s="27">
        <f>SUM(D26:F26)</f>
        <v>771000</v>
      </c>
      <c r="H26" s="27">
        <f>12000+720+5280+29504+342000+379812</f>
        <v>769316</v>
      </c>
      <c r="I26" s="27">
        <f>G26-H26</f>
        <v>1684</v>
      </c>
      <c r="J26" s="27"/>
      <c r="K26" s="27">
        <f>I26</f>
        <v>1684</v>
      </c>
      <c r="L26" s="30"/>
    </row>
    <row r="27" spans="1:12" s="22" customFormat="1" x14ac:dyDescent="0.25">
      <c r="A27" s="24"/>
      <c r="B27" s="25" t="s">
        <v>298</v>
      </c>
      <c r="C27" s="88"/>
      <c r="D27" s="26"/>
      <c r="E27" s="26"/>
      <c r="F27" s="26">
        <v>16830</v>
      </c>
      <c r="G27" s="27">
        <f>SUM(D27:F27)</f>
        <v>16830</v>
      </c>
      <c r="H27" s="27">
        <f>G27</f>
        <v>16830</v>
      </c>
      <c r="I27" s="27">
        <f>G27-H27</f>
        <v>0</v>
      </c>
      <c r="J27" s="27"/>
      <c r="K27" s="27"/>
      <c r="L27" s="30"/>
    </row>
    <row r="28" spans="1:12" s="2" customFormat="1" x14ac:dyDescent="0.25">
      <c r="A28" s="61"/>
      <c r="B28" s="63" t="s">
        <v>301</v>
      </c>
      <c r="C28" s="63"/>
      <c r="D28" s="27"/>
      <c r="E28" s="27">
        <v>4419467</v>
      </c>
      <c r="F28" s="27"/>
      <c r="G28" s="27">
        <f>SUM(D28:F28)</f>
        <v>4419467</v>
      </c>
      <c r="H28" s="27">
        <f>G28</f>
        <v>4419467</v>
      </c>
      <c r="I28" s="27">
        <f>G28-H28</f>
        <v>0</v>
      </c>
      <c r="J28" s="27"/>
      <c r="K28" s="27"/>
    </row>
    <row r="29" spans="1:12" s="2" customFormat="1" ht="31.5" x14ac:dyDescent="0.25">
      <c r="A29" s="61"/>
      <c r="B29" s="63" t="s">
        <v>312</v>
      </c>
      <c r="C29" s="63"/>
      <c r="D29" s="27"/>
      <c r="E29" s="27"/>
      <c r="F29" s="27">
        <v>2687000</v>
      </c>
      <c r="G29" s="27">
        <f>SUM(D29:F29)</f>
        <v>2687000</v>
      </c>
      <c r="H29" s="27">
        <f>853133+1803</f>
        <v>854936</v>
      </c>
      <c r="I29" s="27">
        <f>G29-H29</f>
        <v>1832064</v>
      </c>
      <c r="J29" s="27">
        <f>I29</f>
        <v>1832064</v>
      </c>
      <c r="K29" s="27"/>
      <c r="L29" s="128"/>
    </row>
    <row r="30" spans="1:12" s="103" customFormat="1" x14ac:dyDescent="0.25">
      <c r="A30" s="99">
        <v>2</v>
      </c>
      <c r="B30" s="100" t="s">
        <v>233</v>
      </c>
      <c r="C30" s="100"/>
      <c r="D30" s="101">
        <f t="shared" ref="D30:K30" si="5">SUM(D31:D45)</f>
        <v>0</v>
      </c>
      <c r="E30" s="101">
        <f t="shared" si="5"/>
        <v>3486623</v>
      </c>
      <c r="F30" s="101">
        <f t="shared" si="5"/>
        <v>1362762</v>
      </c>
      <c r="G30" s="101">
        <f t="shared" si="5"/>
        <v>4849385</v>
      </c>
      <c r="H30" s="101">
        <f t="shared" si="5"/>
        <v>4742502</v>
      </c>
      <c r="I30" s="101">
        <f t="shared" si="5"/>
        <v>106883</v>
      </c>
      <c r="J30" s="101">
        <f t="shared" si="5"/>
        <v>106883</v>
      </c>
      <c r="K30" s="101">
        <f t="shared" si="5"/>
        <v>0</v>
      </c>
      <c r="L30" s="102">
        <v>4814103</v>
      </c>
    </row>
    <row r="31" spans="1:12" s="2" customFormat="1" ht="19.5" customHeight="1" x14ac:dyDescent="0.25">
      <c r="A31" s="61"/>
      <c r="B31" s="63" t="s">
        <v>234</v>
      </c>
      <c r="C31" s="63">
        <v>338</v>
      </c>
      <c r="D31" s="27"/>
      <c r="E31" s="27"/>
      <c r="F31" s="27">
        <v>192000</v>
      </c>
      <c r="G31" s="27">
        <f>SUM(D31:F31)</f>
        <v>192000</v>
      </c>
      <c r="H31" s="27">
        <f t="shared" ref="H31:H39" si="6">G31</f>
        <v>192000</v>
      </c>
      <c r="I31" s="27">
        <f>G31-H31</f>
        <v>0</v>
      </c>
      <c r="J31" s="27"/>
      <c r="K31" s="27"/>
    </row>
    <row r="32" spans="1:12" x14ac:dyDescent="0.25">
      <c r="A32" s="24"/>
      <c r="B32" s="35" t="s">
        <v>245</v>
      </c>
      <c r="C32" s="88">
        <v>428</v>
      </c>
      <c r="D32" s="27"/>
      <c r="E32" s="27"/>
      <c r="F32" s="27">
        <v>21600</v>
      </c>
      <c r="G32" s="27">
        <f t="shared" ref="G32:G36" si="7">SUM(D32:F32)</f>
        <v>21600</v>
      </c>
      <c r="H32" s="27">
        <f t="shared" si="6"/>
        <v>21600</v>
      </c>
      <c r="I32" s="27">
        <f t="shared" ref="I32:I42" si="8">G32-H32</f>
        <v>0</v>
      </c>
      <c r="J32" s="27"/>
      <c r="K32" s="27"/>
    </row>
    <row r="33" spans="1:12" ht="31.5" x14ac:dyDescent="0.25">
      <c r="A33" s="24"/>
      <c r="B33" s="35" t="s">
        <v>253</v>
      </c>
      <c r="C33" s="88">
        <v>428</v>
      </c>
      <c r="D33" s="27"/>
      <c r="E33" s="27"/>
      <c r="F33" s="27">
        <v>39000</v>
      </c>
      <c r="G33" s="27">
        <f t="shared" si="7"/>
        <v>39000</v>
      </c>
      <c r="H33" s="27">
        <f t="shared" si="6"/>
        <v>39000</v>
      </c>
      <c r="I33" s="27">
        <f t="shared" si="8"/>
        <v>0</v>
      </c>
      <c r="J33" s="27"/>
      <c r="K33" s="27"/>
    </row>
    <row r="34" spans="1:12" ht="31.5" x14ac:dyDescent="0.25">
      <c r="A34" s="24"/>
      <c r="B34" s="35" t="s">
        <v>269</v>
      </c>
      <c r="C34" s="88" t="s">
        <v>258</v>
      </c>
      <c r="D34" s="27"/>
      <c r="E34" s="27"/>
      <c r="F34" s="27">
        <v>4000</v>
      </c>
      <c r="G34" s="27">
        <f t="shared" si="7"/>
        <v>4000</v>
      </c>
      <c r="H34" s="27">
        <f t="shared" si="6"/>
        <v>4000</v>
      </c>
      <c r="I34" s="27">
        <f t="shared" si="8"/>
        <v>0</v>
      </c>
      <c r="J34" s="27"/>
      <c r="K34" s="27"/>
    </row>
    <row r="35" spans="1:12" ht="34.5" customHeight="1" x14ac:dyDescent="0.25">
      <c r="A35" s="24"/>
      <c r="B35" s="35" t="s">
        <v>270</v>
      </c>
      <c r="C35" s="88">
        <v>338</v>
      </c>
      <c r="D35" s="27"/>
      <c r="E35" s="27"/>
      <c r="F35" s="27">
        <v>71000</v>
      </c>
      <c r="G35" s="27">
        <f t="shared" si="7"/>
        <v>71000</v>
      </c>
      <c r="H35" s="27">
        <f t="shared" si="6"/>
        <v>71000</v>
      </c>
      <c r="I35" s="27">
        <f t="shared" si="8"/>
        <v>0</v>
      </c>
      <c r="J35" s="27"/>
      <c r="K35" s="27"/>
    </row>
    <row r="36" spans="1:12" ht="31.5" x14ac:dyDescent="0.25">
      <c r="A36" s="24"/>
      <c r="B36" s="35" t="s">
        <v>272</v>
      </c>
      <c r="C36" s="88">
        <v>398</v>
      </c>
      <c r="D36" s="27"/>
      <c r="E36" s="27"/>
      <c r="F36" s="27">
        <v>284880</v>
      </c>
      <c r="G36" s="27">
        <f t="shared" si="7"/>
        <v>284880</v>
      </c>
      <c r="H36" s="27">
        <f t="shared" si="6"/>
        <v>284880</v>
      </c>
      <c r="I36" s="27">
        <f t="shared" si="8"/>
        <v>0</v>
      </c>
      <c r="J36" s="27"/>
      <c r="K36" s="27"/>
    </row>
    <row r="37" spans="1:12" s="22" customFormat="1" ht="31.5" x14ac:dyDescent="0.25">
      <c r="A37" s="24"/>
      <c r="B37" s="25" t="s">
        <v>278</v>
      </c>
      <c r="C37" s="88"/>
      <c r="D37" s="26"/>
      <c r="E37" s="26"/>
      <c r="F37" s="26">
        <v>3000</v>
      </c>
      <c r="G37" s="26">
        <f t="shared" ref="G37:G42" si="9">SUM(D37:F37)</f>
        <v>3000</v>
      </c>
      <c r="H37" s="26">
        <f t="shared" si="6"/>
        <v>3000</v>
      </c>
      <c r="I37" s="27">
        <f t="shared" si="8"/>
        <v>0</v>
      </c>
      <c r="J37" s="27"/>
      <c r="K37" s="27"/>
      <c r="L37" s="30"/>
    </row>
    <row r="38" spans="1:12" s="22" customFormat="1" ht="31.5" x14ac:dyDescent="0.25">
      <c r="A38" s="24"/>
      <c r="B38" s="25" t="s">
        <v>279</v>
      </c>
      <c r="C38" s="88">
        <v>428</v>
      </c>
      <c r="D38" s="26"/>
      <c r="E38" s="26"/>
      <c r="F38" s="26">
        <v>12000</v>
      </c>
      <c r="G38" s="26">
        <f t="shared" si="9"/>
        <v>12000</v>
      </c>
      <c r="H38" s="26">
        <f t="shared" si="6"/>
        <v>12000</v>
      </c>
      <c r="I38" s="27">
        <f t="shared" si="8"/>
        <v>0</v>
      </c>
      <c r="J38" s="27"/>
      <c r="K38" s="27"/>
      <c r="L38" s="30"/>
    </row>
    <row r="39" spans="1:12" s="22" customFormat="1" x14ac:dyDescent="0.25">
      <c r="A39" s="24"/>
      <c r="B39" s="25" t="s">
        <v>311</v>
      </c>
      <c r="C39" s="88">
        <v>338</v>
      </c>
      <c r="D39" s="26"/>
      <c r="E39" s="26"/>
      <c r="F39" s="26">
        <v>28022</v>
      </c>
      <c r="G39" s="26">
        <f t="shared" si="9"/>
        <v>28022</v>
      </c>
      <c r="H39" s="26">
        <f t="shared" si="6"/>
        <v>28022</v>
      </c>
      <c r="I39" s="27">
        <f t="shared" si="8"/>
        <v>0</v>
      </c>
      <c r="J39" s="27"/>
      <c r="K39" s="27"/>
      <c r="L39" s="30"/>
    </row>
    <row r="40" spans="1:12" s="22" customFormat="1" x14ac:dyDescent="0.25">
      <c r="A40" s="24"/>
      <c r="B40" s="25" t="s">
        <v>282</v>
      </c>
      <c r="C40" s="88"/>
      <c r="D40" s="26"/>
      <c r="E40" s="26"/>
      <c r="F40" s="26"/>
      <c r="G40" s="26"/>
      <c r="H40" s="26"/>
      <c r="I40" s="27">
        <f t="shared" si="8"/>
        <v>0</v>
      </c>
      <c r="J40" s="27"/>
      <c r="K40" s="27"/>
      <c r="L40" s="30"/>
    </row>
    <row r="41" spans="1:12" s="38" customFormat="1" x14ac:dyDescent="0.25">
      <c r="A41" s="36"/>
      <c r="B41" s="122" t="s">
        <v>283</v>
      </c>
      <c r="C41" s="123"/>
      <c r="D41" s="124"/>
      <c r="E41" s="124"/>
      <c r="F41" s="124">
        <v>50000</v>
      </c>
      <c r="G41" s="124">
        <f t="shared" si="9"/>
        <v>50000</v>
      </c>
      <c r="H41" s="124">
        <f>G41</f>
        <v>50000</v>
      </c>
      <c r="I41" s="27">
        <f t="shared" si="8"/>
        <v>0</v>
      </c>
      <c r="J41" s="37"/>
      <c r="K41" s="37"/>
      <c r="L41" s="125"/>
    </row>
    <row r="42" spans="1:12" s="22" customFormat="1" x14ac:dyDescent="0.25">
      <c r="A42" s="24"/>
      <c r="B42" s="25" t="s">
        <v>286</v>
      </c>
      <c r="C42" s="88"/>
      <c r="D42" s="26"/>
      <c r="E42" s="26"/>
      <c r="F42" s="26">
        <v>40000</v>
      </c>
      <c r="G42" s="26">
        <f t="shared" si="9"/>
        <v>40000</v>
      </c>
      <c r="H42" s="26">
        <f>G42</f>
        <v>40000</v>
      </c>
      <c r="I42" s="27">
        <f t="shared" si="8"/>
        <v>0</v>
      </c>
      <c r="J42" s="27"/>
      <c r="K42" s="27"/>
      <c r="L42" s="30"/>
    </row>
    <row r="43" spans="1:12" s="22" customFormat="1" x14ac:dyDescent="0.25">
      <c r="A43" s="24"/>
      <c r="B43" s="25" t="s">
        <v>290</v>
      </c>
      <c r="C43" s="88">
        <v>292</v>
      </c>
      <c r="D43" s="26"/>
      <c r="E43" s="26"/>
      <c r="F43" s="26">
        <v>610000</v>
      </c>
      <c r="G43" s="27">
        <f>SUM(D43:F43)</f>
        <v>610000</v>
      </c>
      <c r="H43" s="27">
        <f>G43</f>
        <v>610000</v>
      </c>
      <c r="I43" s="27">
        <f>G43-H43</f>
        <v>0</v>
      </c>
      <c r="J43" s="27"/>
      <c r="K43" s="27"/>
      <c r="L43" s="30"/>
    </row>
    <row r="44" spans="1:12" s="22" customFormat="1" x14ac:dyDescent="0.25">
      <c r="A44" s="24"/>
      <c r="B44" s="25" t="s">
        <v>298</v>
      </c>
      <c r="C44" s="88"/>
      <c r="D44" s="26"/>
      <c r="E44" s="26"/>
      <c r="F44" s="26">
        <v>7260</v>
      </c>
      <c r="G44" s="27">
        <f>SUM(D44:F44)</f>
        <v>7260</v>
      </c>
      <c r="H44" s="27">
        <f>G44</f>
        <v>7260</v>
      </c>
      <c r="I44" s="27">
        <f>G44-H44</f>
        <v>0</v>
      </c>
      <c r="J44" s="27"/>
      <c r="K44" s="27"/>
      <c r="L44" s="30"/>
    </row>
    <row r="45" spans="1:12" s="2" customFormat="1" x14ac:dyDescent="0.25">
      <c r="A45" s="61"/>
      <c r="B45" s="63" t="s">
        <v>301</v>
      </c>
      <c r="C45" s="63"/>
      <c r="D45" s="27"/>
      <c r="E45" s="27">
        <v>3486623</v>
      </c>
      <c r="F45" s="27"/>
      <c r="G45" s="27">
        <f>SUM(D45:F45)</f>
        <v>3486623</v>
      </c>
      <c r="H45" s="27">
        <v>3379740</v>
      </c>
      <c r="I45" s="27">
        <f>G45-H45</f>
        <v>106883</v>
      </c>
      <c r="J45" s="27">
        <f>I45</f>
        <v>106883</v>
      </c>
      <c r="K45" s="27"/>
    </row>
    <row r="46" spans="1:12" s="103" customFormat="1" x14ac:dyDescent="0.25">
      <c r="A46" s="99">
        <v>3</v>
      </c>
      <c r="B46" s="100" t="s">
        <v>235</v>
      </c>
      <c r="C46" s="100"/>
      <c r="D46" s="101">
        <f t="shared" ref="D46:K46" si="10">SUM(D47:D56)</f>
        <v>0</v>
      </c>
      <c r="E46" s="101">
        <f t="shared" si="10"/>
        <v>2792285</v>
      </c>
      <c r="F46" s="101">
        <f t="shared" si="10"/>
        <v>1383650</v>
      </c>
      <c r="G46" s="101">
        <f t="shared" si="10"/>
        <v>4175935</v>
      </c>
      <c r="H46" s="101">
        <f t="shared" si="10"/>
        <v>4166155</v>
      </c>
      <c r="I46" s="101">
        <f t="shared" si="10"/>
        <v>9780</v>
      </c>
      <c r="J46" s="101">
        <f t="shared" si="10"/>
        <v>5341</v>
      </c>
      <c r="K46" s="101">
        <f t="shared" si="10"/>
        <v>4439</v>
      </c>
      <c r="L46" s="102">
        <v>4165045</v>
      </c>
    </row>
    <row r="47" spans="1:12" s="2" customFormat="1" ht="19.5" customHeight="1" x14ac:dyDescent="0.25">
      <c r="A47" s="61"/>
      <c r="B47" s="63" t="s">
        <v>236</v>
      </c>
      <c r="C47" s="63">
        <v>338</v>
      </c>
      <c r="D47" s="27"/>
      <c r="E47" s="27"/>
      <c r="F47" s="27">
        <v>617000</v>
      </c>
      <c r="G47" s="27">
        <f>SUM(D47:F47)</f>
        <v>617000</v>
      </c>
      <c r="H47" s="27">
        <v>612561</v>
      </c>
      <c r="I47" s="27">
        <f>G47-H47</f>
        <v>4439</v>
      </c>
      <c r="J47" s="27"/>
      <c r="K47" s="27">
        <f>I47</f>
        <v>4439</v>
      </c>
    </row>
    <row r="48" spans="1:12" x14ac:dyDescent="0.25">
      <c r="A48" s="24"/>
      <c r="B48" s="35" t="s">
        <v>245</v>
      </c>
      <c r="C48" s="88">
        <v>428</v>
      </c>
      <c r="D48" s="27"/>
      <c r="E48" s="27"/>
      <c r="F48" s="27">
        <v>21600</v>
      </c>
      <c r="G48" s="27">
        <f t="shared" ref="G48:G50" si="11">SUM(D48:F48)</f>
        <v>21600</v>
      </c>
      <c r="H48" s="27">
        <f>G48</f>
        <v>21600</v>
      </c>
      <c r="I48" s="27">
        <f t="shared" ref="I48:I53" si="12">G48-H48</f>
        <v>0</v>
      </c>
      <c r="J48" s="27"/>
      <c r="K48" s="27"/>
    </row>
    <row r="49" spans="1:12" ht="31.5" x14ac:dyDescent="0.25">
      <c r="A49" s="24"/>
      <c r="B49" s="35" t="s">
        <v>269</v>
      </c>
      <c r="C49" s="88" t="s">
        <v>258</v>
      </c>
      <c r="D49" s="27"/>
      <c r="E49" s="27"/>
      <c r="F49" s="27">
        <v>4000</v>
      </c>
      <c r="G49" s="27">
        <f t="shared" si="11"/>
        <v>4000</v>
      </c>
      <c r="H49" s="27">
        <f>G49</f>
        <v>4000</v>
      </c>
      <c r="I49" s="27">
        <f t="shared" si="12"/>
        <v>0</v>
      </c>
      <c r="J49" s="27"/>
      <c r="K49" s="27"/>
    </row>
    <row r="50" spans="1:12" ht="31.5" x14ac:dyDescent="0.25">
      <c r="A50" s="24"/>
      <c r="B50" s="35" t="s">
        <v>272</v>
      </c>
      <c r="C50" s="88">
        <v>398</v>
      </c>
      <c r="D50" s="27"/>
      <c r="E50" s="27"/>
      <c r="F50" s="27">
        <v>26160</v>
      </c>
      <c r="G50" s="27">
        <f t="shared" si="11"/>
        <v>26160</v>
      </c>
      <c r="H50" s="27">
        <v>26160</v>
      </c>
      <c r="I50" s="27">
        <f t="shared" si="12"/>
        <v>0</v>
      </c>
      <c r="J50" s="27"/>
      <c r="K50" s="27"/>
    </row>
    <row r="51" spans="1:12" s="22" customFormat="1" ht="31.5" x14ac:dyDescent="0.25">
      <c r="A51" s="24"/>
      <c r="B51" s="25" t="s">
        <v>278</v>
      </c>
      <c r="C51" s="88"/>
      <c r="D51" s="26"/>
      <c r="E51" s="26"/>
      <c r="F51" s="26">
        <v>11000</v>
      </c>
      <c r="G51" s="26">
        <f t="shared" ref="G51:G53" si="13">SUM(D51:F51)</f>
        <v>11000</v>
      </c>
      <c r="H51" s="26">
        <f>G51</f>
        <v>11000</v>
      </c>
      <c r="I51" s="26">
        <f t="shared" si="12"/>
        <v>0</v>
      </c>
      <c r="J51" s="27"/>
      <c r="K51" s="27"/>
      <c r="L51" s="30"/>
    </row>
    <row r="52" spans="1:12" s="22" customFormat="1" x14ac:dyDescent="0.25">
      <c r="A52" s="24"/>
      <c r="B52" s="25" t="s">
        <v>282</v>
      </c>
      <c r="C52" s="88"/>
      <c r="D52" s="26"/>
      <c r="E52" s="26"/>
      <c r="F52" s="26"/>
      <c r="G52" s="26">
        <f t="shared" si="13"/>
        <v>0</v>
      </c>
      <c r="H52" s="26"/>
      <c r="I52" s="26">
        <f t="shared" si="12"/>
        <v>0</v>
      </c>
      <c r="J52" s="27"/>
      <c r="K52" s="27"/>
      <c r="L52" s="30"/>
    </row>
    <row r="53" spans="1:12" s="38" customFormat="1" x14ac:dyDescent="0.25">
      <c r="A53" s="36"/>
      <c r="B53" s="122" t="s">
        <v>283</v>
      </c>
      <c r="C53" s="123"/>
      <c r="D53" s="124"/>
      <c r="E53" s="124"/>
      <c r="F53" s="124">
        <v>500000</v>
      </c>
      <c r="G53" s="124">
        <f t="shared" si="13"/>
        <v>500000</v>
      </c>
      <c r="H53" s="124">
        <f>469926+24733</f>
        <v>494659</v>
      </c>
      <c r="I53" s="124">
        <f t="shared" si="12"/>
        <v>5341</v>
      </c>
      <c r="J53" s="37">
        <f>I53</f>
        <v>5341</v>
      </c>
      <c r="K53" s="37"/>
      <c r="L53" s="125"/>
    </row>
    <row r="54" spans="1:12" s="22" customFormat="1" ht="20.25" customHeight="1" x14ac:dyDescent="0.25">
      <c r="A54" s="24"/>
      <c r="B54" s="25" t="s">
        <v>293</v>
      </c>
      <c r="C54" s="88">
        <v>292</v>
      </c>
      <c r="D54" s="26"/>
      <c r="E54" s="26"/>
      <c r="F54" s="26">
        <v>193000</v>
      </c>
      <c r="G54" s="27">
        <f>SUM(D54:F54)</f>
        <v>193000</v>
      </c>
      <c r="H54" s="27">
        <f>G54</f>
        <v>193000</v>
      </c>
      <c r="I54" s="27">
        <f>G54-H54</f>
        <v>0</v>
      </c>
      <c r="J54" s="27"/>
      <c r="K54" s="27"/>
      <c r="L54" s="30"/>
    </row>
    <row r="55" spans="1:12" s="22" customFormat="1" x14ac:dyDescent="0.25">
      <c r="A55" s="24"/>
      <c r="B55" s="25" t="s">
        <v>298</v>
      </c>
      <c r="C55" s="88"/>
      <c r="D55" s="26"/>
      <c r="E55" s="26"/>
      <c r="F55" s="26">
        <v>10890</v>
      </c>
      <c r="G55" s="27">
        <f>SUM(D55:F55)</f>
        <v>10890</v>
      </c>
      <c r="H55" s="27">
        <f>G55</f>
        <v>10890</v>
      </c>
      <c r="I55" s="27">
        <f>G55-H55</f>
        <v>0</v>
      </c>
      <c r="J55" s="27"/>
      <c r="K55" s="27"/>
      <c r="L55" s="30"/>
    </row>
    <row r="56" spans="1:12" s="2" customFormat="1" x14ac:dyDescent="0.25">
      <c r="A56" s="61"/>
      <c r="B56" s="63" t="s">
        <v>301</v>
      </c>
      <c r="C56" s="63"/>
      <c r="D56" s="27"/>
      <c r="E56" s="27">
        <v>2792285</v>
      </c>
      <c r="F56" s="27"/>
      <c r="G56" s="27">
        <f>SUM(D56:F56)</f>
        <v>2792285</v>
      </c>
      <c r="H56" s="27">
        <f>G56</f>
        <v>2792285</v>
      </c>
      <c r="I56" s="27">
        <f>G56-H56</f>
        <v>0</v>
      </c>
      <c r="J56" s="27"/>
      <c r="K56" s="27"/>
    </row>
    <row r="57" spans="1:12" s="103" customFormat="1" x14ac:dyDescent="0.25">
      <c r="A57" s="99">
        <v>4</v>
      </c>
      <c r="B57" s="100" t="s">
        <v>238</v>
      </c>
      <c r="C57" s="100"/>
      <c r="D57" s="101">
        <f t="shared" ref="D57:K57" si="14">SUM(D58:D71)</f>
        <v>0</v>
      </c>
      <c r="E57" s="101">
        <f t="shared" si="14"/>
        <v>3270299</v>
      </c>
      <c r="F57" s="101">
        <f t="shared" si="14"/>
        <v>1784790</v>
      </c>
      <c r="G57" s="101">
        <f t="shared" si="14"/>
        <v>5055089</v>
      </c>
      <c r="H57" s="101">
        <f t="shared" si="14"/>
        <v>4756921</v>
      </c>
      <c r="I57" s="101">
        <f t="shared" si="14"/>
        <v>298168</v>
      </c>
      <c r="J57" s="101">
        <f t="shared" si="14"/>
        <v>297507</v>
      </c>
      <c r="K57" s="101">
        <f t="shared" si="14"/>
        <v>661</v>
      </c>
      <c r="L57" s="102">
        <v>5040899</v>
      </c>
    </row>
    <row r="58" spans="1:12" s="2" customFormat="1" ht="31.5" x14ac:dyDescent="0.25">
      <c r="A58" s="61"/>
      <c r="B58" s="63" t="s">
        <v>240</v>
      </c>
      <c r="C58" s="63">
        <v>338</v>
      </c>
      <c r="D58" s="27"/>
      <c r="E58" s="27"/>
      <c r="F58" s="27">
        <v>27000</v>
      </c>
      <c r="G58" s="27">
        <f>SUM(D58:F58)</f>
        <v>27000</v>
      </c>
      <c r="H58" s="27">
        <v>26509</v>
      </c>
      <c r="I58" s="27">
        <f>G58-H58</f>
        <v>491</v>
      </c>
      <c r="J58" s="27"/>
      <c r="K58" s="27">
        <f>I58</f>
        <v>491</v>
      </c>
    </row>
    <row r="59" spans="1:12" s="2" customFormat="1" ht="31.5" x14ac:dyDescent="0.25">
      <c r="A59" s="61"/>
      <c r="B59" s="63" t="s">
        <v>239</v>
      </c>
      <c r="C59" s="63">
        <v>338</v>
      </c>
      <c r="D59" s="27"/>
      <c r="E59" s="27"/>
      <c r="F59" s="27">
        <v>41000</v>
      </c>
      <c r="G59" s="27">
        <f>SUM(D59:F59)</f>
        <v>41000</v>
      </c>
      <c r="H59" s="27">
        <v>40830</v>
      </c>
      <c r="I59" s="27">
        <f>G59-H59</f>
        <v>170</v>
      </c>
      <c r="J59" s="27"/>
      <c r="K59" s="27">
        <f>I59</f>
        <v>170</v>
      </c>
    </row>
    <row r="60" spans="1:12" x14ac:dyDescent="0.25">
      <c r="A60" s="24"/>
      <c r="B60" s="35" t="s">
        <v>245</v>
      </c>
      <c r="C60" s="88">
        <v>428</v>
      </c>
      <c r="D60" s="27"/>
      <c r="E60" s="27"/>
      <c r="F60" s="27">
        <v>18900</v>
      </c>
      <c r="G60" s="27">
        <f t="shared" ref="G60:G63" si="15">SUM(D60:F60)</f>
        <v>18900</v>
      </c>
      <c r="H60" s="27">
        <f t="shared" ref="H60:H66" si="16">G60</f>
        <v>18900</v>
      </c>
      <c r="I60" s="27">
        <f t="shared" ref="I60:I63" si="17">G60-H60</f>
        <v>0</v>
      </c>
      <c r="J60" s="27"/>
      <c r="K60" s="27"/>
    </row>
    <row r="61" spans="1:12" x14ac:dyDescent="0.25">
      <c r="A61" s="24"/>
      <c r="B61" s="35" t="s">
        <v>265</v>
      </c>
      <c r="C61" s="88">
        <v>292</v>
      </c>
      <c r="D61" s="27"/>
      <c r="E61" s="27"/>
      <c r="F61" s="27">
        <v>370000</v>
      </c>
      <c r="G61" s="27">
        <f t="shared" si="15"/>
        <v>370000</v>
      </c>
      <c r="H61" s="27">
        <f t="shared" si="16"/>
        <v>370000</v>
      </c>
      <c r="I61" s="27">
        <f t="shared" si="17"/>
        <v>0</v>
      </c>
      <c r="J61" s="27"/>
      <c r="K61" s="27"/>
    </row>
    <row r="62" spans="1:12" x14ac:dyDescent="0.25">
      <c r="A62" s="24"/>
      <c r="B62" s="35" t="s">
        <v>266</v>
      </c>
      <c r="C62" s="88">
        <v>292</v>
      </c>
      <c r="D62" s="27"/>
      <c r="E62" s="27"/>
      <c r="F62" s="27">
        <v>370000</v>
      </c>
      <c r="G62" s="27">
        <f t="shared" si="15"/>
        <v>370000</v>
      </c>
      <c r="H62" s="27">
        <f t="shared" si="16"/>
        <v>370000</v>
      </c>
      <c r="I62" s="27">
        <f t="shared" si="17"/>
        <v>0</v>
      </c>
      <c r="J62" s="27"/>
      <c r="K62" s="27"/>
    </row>
    <row r="63" spans="1:12" ht="31.5" x14ac:dyDescent="0.25">
      <c r="A63" s="24"/>
      <c r="B63" s="35" t="s">
        <v>269</v>
      </c>
      <c r="C63" s="88" t="s">
        <v>258</v>
      </c>
      <c r="D63" s="27"/>
      <c r="E63" s="27"/>
      <c r="F63" s="27">
        <v>9000</v>
      </c>
      <c r="G63" s="27">
        <f t="shared" si="15"/>
        <v>9000</v>
      </c>
      <c r="H63" s="27">
        <f t="shared" si="16"/>
        <v>9000</v>
      </c>
      <c r="I63" s="27">
        <f t="shared" si="17"/>
        <v>0</v>
      </c>
      <c r="J63" s="27"/>
      <c r="K63" s="27"/>
    </row>
    <row r="64" spans="1:12" s="2" customFormat="1" x14ac:dyDescent="0.25">
      <c r="A64" s="61"/>
      <c r="B64" s="25" t="s">
        <v>273</v>
      </c>
      <c r="C64" s="88"/>
      <c r="D64" s="27"/>
      <c r="E64" s="27"/>
      <c r="F64" s="27">
        <v>28000</v>
      </c>
      <c r="G64" s="27">
        <f>SUM(D64:F64)</f>
        <v>28000</v>
      </c>
      <c r="H64" s="27">
        <f t="shared" si="16"/>
        <v>28000</v>
      </c>
      <c r="I64" s="27">
        <f>G64-H64</f>
        <v>0</v>
      </c>
      <c r="J64" s="27"/>
      <c r="K64" s="27"/>
    </row>
    <row r="65" spans="1:12" s="22" customFormat="1" ht="31.5" x14ac:dyDescent="0.25">
      <c r="A65" s="24"/>
      <c r="B65" s="25" t="s">
        <v>278</v>
      </c>
      <c r="C65" s="88"/>
      <c r="D65" s="26"/>
      <c r="E65" s="26"/>
      <c r="F65" s="26">
        <v>9000</v>
      </c>
      <c r="G65" s="26">
        <f t="shared" ref="G65:G68" si="18">SUM(D65:F65)</f>
        <v>9000</v>
      </c>
      <c r="H65" s="26">
        <f t="shared" si="16"/>
        <v>9000</v>
      </c>
      <c r="I65" s="26">
        <f t="shared" ref="I65:I68" si="19">G65-H65</f>
        <v>0</v>
      </c>
      <c r="J65" s="27"/>
      <c r="K65" s="27"/>
      <c r="L65" s="30"/>
    </row>
    <row r="66" spans="1:12" s="22" customFormat="1" ht="31.5" x14ac:dyDescent="0.25">
      <c r="A66" s="24"/>
      <c r="B66" s="25" t="s">
        <v>279</v>
      </c>
      <c r="C66" s="88">
        <v>428</v>
      </c>
      <c r="D66" s="26"/>
      <c r="E66" s="26"/>
      <c r="F66" s="26">
        <v>21000</v>
      </c>
      <c r="G66" s="26">
        <f t="shared" si="18"/>
        <v>21000</v>
      </c>
      <c r="H66" s="26">
        <f t="shared" si="16"/>
        <v>21000</v>
      </c>
      <c r="I66" s="26">
        <f t="shared" si="19"/>
        <v>0</v>
      </c>
      <c r="J66" s="27"/>
      <c r="K66" s="27"/>
      <c r="L66" s="30"/>
    </row>
    <row r="67" spans="1:12" s="22" customFormat="1" x14ac:dyDescent="0.25">
      <c r="A67" s="24"/>
      <c r="B67" s="25" t="s">
        <v>282</v>
      </c>
      <c r="C67" s="88"/>
      <c r="D67" s="26"/>
      <c r="E67" s="26"/>
      <c r="F67" s="26"/>
      <c r="G67" s="26">
        <f t="shared" si="18"/>
        <v>0</v>
      </c>
      <c r="H67" s="26"/>
      <c r="I67" s="26">
        <f t="shared" si="19"/>
        <v>0</v>
      </c>
      <c r="J67" s="27"/>
      <c r="K67" s="27"/>
      <c r="L67" s="30"/>
    </row>
    <row r="68" spans="1:12" s="38" customFormat="1" x14ac:dyDescent="0.25">
      <c r="A68" s="36"/>
      <c r="B68" s="122" t="s">
        <v>283</v>
      </c>
      <c r="C68" s="123"/>
      <c r="D68" s="124"/>
      <c r="E68" s="124"/>
      <c r="F68" s="124">
        <v>500000</v>
      </c>
      <c r="G68" s="124">
        <f t="shared" si="18"/>
        <v>500000</v>
      </c>
      <c r="H68" s="124">
        <v>424832</v>
      </c>
      <c r="I68" s="124">
        <f t="shared" si="19"/>
        <v>75168</v>
      </c>
      <c r="J68" s="37">
        <f>I68</f>
        <v>75168</v>
      </c>
      <c r="K68" s="37"/>
      <c r="L68" s="125"/>
    </row>
    <row r="69" spans="1:12" s="22" customFormat="1" x14ac:dyDescent="0.25">
      <c r="A69" s="24"/>
      <c r="B69" s="25" t="s">
        <v>288</v>
      </c>
      <c r="C69" s="88">
        <v>292</v>
      </c>
      <c r="D69" s="26"/>
      <c r="E69" s="26"/>
      <c r="F69" s="26">
        <v>376700</v>
      </c>
      <c r="G69" s="27">
        <f>SUM(D69:F69)</f>
        <v>376700</v>
      </c>
      <c r="H69" s="27">
        <f>G69</f>
        <v>376700</v>
      </c>
      <c r="I69" s="27">
        <f>G69-H69</f>
        <v>0</v>
      </c>
      <c r="J69" s="27"/>
      <c r="K69" s="27"/>
      <c r="L69" s="30"/>
    </row>
    <row r="70" spans="1:12" s="22" customFormat="1" x14ac:dyDescent="0.25">
      <c r="A70" s="24"/>
      <c r="B70" s="25" t="s">
        <v>298</v>
      </c>
      <c r="C70" s="88"/>
      <c r="D70" s="26"/>
      <c r="E70" s="26"/>
      <c r="F70" s="26">
        <v>14190</v>
      </c>
      <c r="G70" s="27">
        <f>SUM(D70:F70)</f>
        <v>14190</v>
      </c>
      <c r="H70" s="27">
        <f>G70</f>
        <v>14190</v>
      </c>
      <c r="I70" s="27">
        <f>G70-H70</f>
        <v>0</v>
      </c>
      <c r="J70" s="27"/>
      <c r="K70" s="27"/>
      <c r="L70" s="30"/>
    </row>
    <row r="71" spans="1:12" s="2" customFormat="1" x14ac:dyDescent="0.25">
      <c r="A71" s="61"/>
      <c r="B71" s="63" t="s">
        <v>301</v>
      </c>
      <c r="C71" s="63"/>
      <c r="D71" s="27"/>
      <c r="E71" s="27">
        <v>3270299</v>
      </c>
      <c r="F71" s="27"/>
      <c r="G71" s="27">
        <f>SUM(D71:F71)</f>
        <v>3270299</v>
      </c>
      <c r="H71" s="27">
        <v>3047960</v>
      </c>
      <c r="I71" s="27">
        <f>G71-H71</f>
        <v>222339</v>
      </c>
      <c r="J71" s="27">
        <f>I71</f>
        <v>222339</v>
      </c>
      <c r="K71" s="27"/>
    </row>
    <row r="72" spans="1:12" s="103" customFormat="1" x14ac:dyDescent="0.25">
      <c r="A72" s="99">
        <v>5</v>
      </c>
      <c r="B72" s="100" t="s">
        <v>241</v>
      </c>
      <c r="C72" s="100"/>
      <c r="D72" s="101">
        <f t="shared" ref="D72:K72" si="20">SUM(D73:D83)</f>
        <v>0</v>
      </c>
      <c r="E72" s="101">
        <f t="shared" si="20"/>
        <v>4837832</v>
      </c>
      <c r="F72" s="101">
        <f t="shared" si="20"/>
        <v>1230030</v>
      </c>
      <c r="G72" s="101">
        <f t="shared" si="20"/>
        <v>6067862</v>
      </c>
      <c r="H72" s="101">
        <f t="shared" si="20"/>
        <v>5561862</v>
      </c>
      <c r="I72" s="101">
        <f t="shared" si="20"/>
        <v>506000</v>
      </c>
      <c r="J72" s="101">
        <f t="shared" si="20"/>
        <v>506000</v>
      </c>
      <c r="K72" s="101">
        <f t="shared" si="20"/>
        <v>0</v>
      </c>
      <c r="L72" s="102">
        <v>6054332</v>
      </c>
    </row>
    <row r="73" spans="1:12" s="2" customFormat="1" ht="19.5" customHeight="1" x14ac:dyDescent="0.25">
      <c r="A73" s="61"/>
      <c r="B73" s="63" t="s">
        <v>242</v>
      </c>
      <c r="C73" s="63">
        <v>338</v>
      </c>
      <c r="D73" s="27"/>
      <c r="E73" s="27"/>
      <c r="F73" s="27">
        <v>329000</v>
      </c>
      <c r="G73" s="27">
        <f>SUM(D73:F73)</f>
        <v>329000</v>
      </c>
      <c r="H73" s="27">
        <f>G73</f>
        <v>329000</v>
      </c>
      <c r="I73" s="27">
        <f>G73-H73</f>
        <v>0</v>
      </c>
      <c r="J73" s="27"/>
      <c r="K73" s="27"/>
    </row>
    <row r="74" spans="1:12" x14ac:dyDescent="0.25">
      <c r="A74" s="24"/>
      <c r="B74" s="35" t="s">
        <v>245</v>
      </c>
      <c r="C74" s="88">
        <v>428</v>
      </c>
      <c r="D74" s="27"/>
      <c r="E74" s="27"/>
      <c r="F74" s="27">
        <v>23400</v>
      </c>
      <c r="G74" s="27">
        <f t="shared" ref="G74:G77" si="21">SUM(D74:F74)</f>
        <v>23400</v>
      </c>
      <c r="H74" s="27">
        <f>G74</f>
        <v>23400</v>
      </c>
      <c r="I74" s="27">
        <f t="shared" ref="I74:I81" si="22">G74-H74</f>
        <v>0</v>
      </c>
      <c r="J74" s="27"/>
      <c r="K74" s="27"/>
    </row>
    <row r="75" spans="1:12" x14ac:dyDescent="0.25">
      <c r="A75" s="24"/>
      <c r="B75" s="35" t="s">
        <v>263</v>
      </c>
      <c r="C75" s="88">
        <v>292</v>
      </c>
      <c r="D75" s="27"/>
      <c r="E75" s="27"/>
      <c r="F75" s="27">
        <v>235000</v>
      </c>
      <c r="G75" s="27">
        <f t="shared" si="21"/>
        <v>235000</v>
      </c>
      <c r="H75" s="27">
        <f>G75</f>
        <v>235000</v>
      </c>
      <c r="I75" s="27">
        <f t="shared" si="22"/>
        <v>0</v>
      </c>
      <c r="J75" s="27"/>
      <c r="K75" s="27"/>
    </row>
    <row r="76" spans="1:12" x14ac:dyDescent="0.25">
      <c r="A76" s="24"/>
      <c r="B76" s="35" t="s">
        <v>264</v>
      </c>
      <c r="C76" s="88">
        <v>292</v>
      </c>
      <c r="D76" s="27"/>
      <c r="E76" s="27"/>
      <c r="F76" s="27">
        <v>99700</v>
      </c>
      <c r="G76" s="27">
        <f t="shared" si="21"/>
        <v>99700</v>
      </c>
      <c r="H76" s="27">
        <f>G76</f>
        <v>99700</v>
      </c>
      <c r="I76" s="27">
        <f t="shared" si="22"/>
        <v>0</v>
      </c>
      <c r="J76" s="27"/>
      <c r="K76" s="27"/>
    </row>
    <row r="77" spans="1:12" ht="31.5" x14ac:dyDescent="0.25">
      <c r="A77" s="24"/>
      <c r="B77" s="35" t="s">
        <v>269</v>
      </c>
      <c r="C77" s="88" t="s">
        <v>258</v>
      </c>
      <c r="D77" s="27"/>
      <c r="E77" s="27"/>
      <c r="F77" s="27">
        <v>6000</v>
      </c>
      <c r="G77" s="27">
        <f t="shared" si="21"/>
        <v>6000</v>
      </c>
      <c r="H77" s="27"/>
      <c r="I77" s="27">
        <f t="shared" si="22"/>
        <v>6000</v>
      </c>
      <c r="J77" s="27">
        <f>I77</f>
        <v>6000</v>
      </c>
      <c r="K77" s="27"/>
    </row>
    <row r="78" spans="1:12" s="22" customFormat="1" ht="31.5" x14ac:dyDescent="0.25">
      <c r="A78" s="24"/>
      <c r="B78" s="25" t="s">
        <v>278</v>
      </c>
      <c r="C78" s="88"/>
      <c r="D78" s="26"/>
      <c r="E78" s="26"/>
      <c r="F78" s="26">
        <v>16000</v>
      </c>
      <c r="G78" s="26">
        <f t="shared" ref="G78:G81" si="23">SUM(D78:F78)</f>
        <v>16000</v>
      </c>
      <c r="H78" s="26">
        <f>G78</f>
        <v>16000</v>
      </c>
      <c r="I78" s="26">
        <f t="shared" si="22"/>
        <v>0</v>
      </c>
      <c r="J78" s="27"/>
      <c r="K78" s="27"/>
      <c r="L78" s="30"/>
    </row>
    <row r="79" spans="1:12" s="22" customFormat="1" ht="31.5" x14ac:dyDescent="0.25">
      <c r="A79" s="24"/>
      <c r="B79" s="25" t="s">
        <v>279</v>
      </c>
      <c r="C79" s="88">
        <v>428</v>
      </c>
      <c r="D79" s="26"/>
      <c r="E79" s="26"/>
      <c r="F79" s="26">
        <v>7400</v>
      </c>
      <c r="G79" s="26">
        <f t="shared" si="23"/>
        <v>7400</v>
      </c>
      <c r="H79" s="26">
        <f>G79</f>
        <v>7400</v>
      </c>
      <c r="I79" s="26">
        <f t="shared" si="22"/>
        <v>0</v>
      </c>
      <c r="J79" s="27"/>
      <c r="K79" s="27"/>
      <c r="L79" s="30"/>
    </row>
    <row r="80" spans="1:12" s="22" customFormat="1" x14ac:dyDescent="0.25">
      <c r="A80" s="24"/>
      <c r="B80" s="25" t="s">
        <v>282</v>
      </c>
      <c r="C80" s="88"/>
      <c r="D80" s="26"/>
      <c r="E80" s="26"/>
      <c r="F80" s="26"/>
      <c r="G80" s="26">
        <f t="shared" si="23"/>
        <v>0</v>
      </c>
      <c r="H80" s="26"/>
      <c r="I80" s="26">
        <f t="shared" si="22"/>
        <v>0</v>
      </c>
      <c r="J80" s="27"/>
      <c r="K80" s="27"/>
      <c r="L80" s="30"/>
    </row>
    <row r="81" spans="1:12" s="38" customFormat="1" x14ac:dyDescent="0.25">
      <c r="A81" s="36"/>
      <c r="B81" s="122" t="s">
        <v>283</v>
      </c>
      <c r="C81" s="123"/>
      <c r="D81" s="124"/>
      <c r="E81" s="124"/>
      <c r="F81" s="124">
        <v>500000</v>
      </c>
      <c r="G81" s="124">
        <f t="shared" si="23"/>
        <v>500000</v>
      </c>
      <c r="H81" s="124"/>
      <c r="I81" s="124">
        <f t="shared" si="22"/>
        <v>500000</v>
      </c>
      <c r="J81" s="37">
        <f>I81</f>
        <v>500000</v>
      </c>
      <c r="K81" s="37"/>
      <c r="L81" s="125"/>
    </row>
    <row r="82" spans="1:12" s="22" customFormat="1" x14ac:dyDescent="0.25">
      <c r="A82" s="24"/>
      <c r="B82" s="25" t="s">
        <v>298</v>
      </c>
      <c r="C82" s="88"/>
      <c r="D82" s="26"/>
      <c r="E82" s="26"/>
      <c r="F82" s="26">
        <v>13530</v>
      </c>
      <c r="G82" s="27">
        <f>SUM(D82:F82)</f>
        <v>13530</v>
      </c>
      <c r="H82" s="27">
        <f>G82</f>
        <v>13530</v>
      </c>
      <c r="I82" s="27">
        <f>G82-H82</f>
        <v>0</v>
      </c>
      <c r="J82" s="27"/>
      <c r="K82" s="27"/>
      <c r="L82" s="30"/>
    </row>
    <row r="83" spans="1:12" s="2" customFormat="1" x14ac:dyDescent="0.25">
      <c r="A83" s="61"/>
      <c r="B83" s="63" t="s">
        <v>301</v>
      </c>
      <c r="C83" s="63"/>
      <c r="D83" s="27"/>
      <c r="E83" s="27">
        <v>4837832</v>
      </c>
      <c r="F83" s="27"/>
      <c r="G83" s="27">
        <f>SUM(D83:F83)</f>
        <v>4837832</v>
      </c>
      <c r="H83" s="27">
        <f>G83</f>
        <v>4837832</v>
      </c>
      <c r="I83" s="27">
        <f>G83-H83</f>
        <v>0</v>
      </c>
      <c r="J83" s="27"/>
      <c r="K83" s="27"/>
    </row>
    <row r="84" spans="1:12" s="103" customFormat="1" x14ac:dyDescent="0.25">
      <c r="A84" s="99">
        <v>6</v>
      </c>
      <c r="B84" s="100" t="s">
        <v>246</v>
      </c>
      <c r="C84" s="100"/>
      <c r="D84" s="101">
        <f t="shared" ref="D84:K84" si="24">SUM(D85:D95)</f>
        <v>0</v>
      </c>
      <c r="E84" s="101">
        <f t="shared" si="24"/>
        <v>1651337</v>
      </c>
      <c r="F84" s="101">
        <f t="shared" si="24"/>
        <v>1413520</v>
      </c>
      <c r="G84" s="101">
        <f t="shared" si="24"/>
        <v>3064857</v>
      </c>
      <c r="H84" s="101">
        <f t="shared" si="24"/>
        <v>2509203</v>
      </c>
      <c r="I84" s="101">
        <f t="shared" si="24"/>
        <v>555654</v>
      </c>
      <c r="J84" s="101">
        <f t="shared" si="24"/>
        <v>555654</v>
      </c>
      <c r="K84" s="101">
        <f t="shared" si="24"/>
        <v>0</v>
      </c>
      <c r="L84" s="102">
        <v>3055617</v>
      </c>
    </row>
    <row r="85" spans="1:12" ht="18" customHeight="1" x14ac:dyDescent="0.25">
      <c r="A85" s="24"/>
      <c r="B85" s="35" t="s">
        <v>245</v>
      </c>
      <c r="C85" s="88">
        <v>428</v>
      </c>
      <c r="D85" s="27"/>
      <c r="E85" s="27"/>
      <c r="F85" s="27">
        <v>14400</v>
      </c>
      <c r="G85" s="27">
        <f t="shared" ref="G85:G87" si="25">SUM(D85:F85)</f>
        <v>14400</v>
      </c>
      <c r="H85" s="27">
        <f>G85</f>
        <v>14400</v>
      </c>
      <c r="I85" s="27">
        <f t="shared" ref="I85:I91" si="26">G85-H85</f>
        <v>0</v>
      </c>
      <c r="J85" s="27"/>
      <c r="K85" s="27"/>
    </row>
    <row r="86" spans="1:12" ht="33.75" customHeight="1" x14ac:dyDescent="0.25">
      <c r="A86" s="24"/>
      <c r="B86" s="35" t="s">
        <v>269</v>
      </c>
      <c r="C86" s="88" t="s">
        <v>258</v>
      </c>
      <c r="D86" s="27"/>
      <c r="E86" s="27"/>
      <c r="F86" s="27">
        <v>6000</v>
      </c>
      <c r="G86" s="27">
        <f t="shared" si="25"/>
        <v>6000</v>
      </c>
      <c r="H86" s="27"/>
      <c r="I86" s="27">
        <f t="shared" si="26"/>
        <v>6000</v>
      </c>
      <c r="J86" s="27">
        <f>I86</f>
        <v>6000</v>
      </c>
      <c r="K86" s="27"/>
    </row>
    <row r="87" spans="1:12" x14ac:dyDescent="0.25">
      <c r="A87" s="24"/>
      <c r="B87" s="35" t="s">
        <v>271</v>
      </c>
      <c r="C87" s="88">
        <v>338</v>
      </c>
      <c r="D87" s="27"/>
      <c r="E87" s="27"/>
      <c r="F87" s="27">
        <v>66000</v>
      </c>
      <c r="G87" s="27">
        <f t="shared" si="25"/>
        <v>66000</v>
      </c>
      <c r="H87" s="27">
        <f>G87</f>
        <v>66000</v>
      </c>
      <c r="I87" s="27">
        <f t="shared" si="26"/>
        <v>0</v>
      </c>
      <c r="J87" s="27"/>
      <c r="K87" s="27"/>
    </row>
    <row r="88" spans="1:12" s="22" customFormat="1" ht="31.5" x14ac:dyDescent="0.25">
      <c r="A88" s="24"/>
      <c r="B88" s="25" t="s">
        <v>278</v>
      </c>
      <c r="C88" s="88"/>
      <c r="D88" s="26"/>
      <c r="E88" s="26"/>
      <c r="F88" s="26">
        <v>11000</v>
      </c>
      <c r="G88" s="26">
        <f t="shared" ref="G88:G91" si="27">SUM(D88:F88)</f>
        <v>11000</v>
      </c>
      <c r="H88" s="26">
        <f>G88</f>
        <v>11000</v>
      </c>
      <c r="I88" s="26">
        <f t="shared" si="26"/>
        <v>0</v>
      </c>
      <c r="J88" s="27"/>
      <c r="K88" s="27"/>
      <c r="L88" s="30"/>
    </row>
    <row r="89" spans="1:12" s="22" customFormat="1" ht="31.5" x14ac:dyDescent="0.25">
      <c r="A89" s="24"/>
      <c r="B89" s="25" t="s">
        <v>279</v>
      </c>
      <c r="C89" s="88">
        <v>428</v>
      </c>
      <c r="D89" s="26"/>
      <c r="E89" s="26"/>
      <c r="F89" s="26">
        <v>4900</v>
      </c>
      <c r="G89" s="26">
        <f t="shared" si="27"/>
        <v>4900</v>
      </c>
      <c r="H89" s="26"/>
      <c r="I89" s="26">
        <f t="shared" si="26"/>
        <v>4900</v>
      </c>
      <c r="J89" s="27">
        <f>I89</f>
        <v>4900</v>
      </c>
      <c r="K89" s="27"/>
      <c r="L89" s="30"/>
    </row>
    <row r="90" spans="1:12" s="22" customFormat="1" x14ac:dyDescent="0.25">
      <c r="A90" s="24"/>
      <c r="B90" s="25" t="s">
        <v>282</v>
      </c>
      <c r="C90" s="88"/>
      <c r="D90" s="26"/>
      <c r="E90" s="26"/>
      <c r="F90" s="26"/>
      <c r="G90" s="26">
        <f t="shared" si="27"/>
        <v>0</v>
      </c>
      <c r="H90" s="26"/>
      <c r="I90" s="26">
        <f t="shared" si="26"/>
        <v>0</v>
      </c>
      <c r="J90" s="27"/>
      <c r="K90" s="27"/>
      <c r="L90" s="30"/>
    </row>
    <row r="91" spans="1:12" s="38" customFormat="1" x14ac:dyDescent="0.25">
      <c r="A91" s="36"/>
      <c r="B91" s="122" t="s">
        <v>283</v>
      </c>
      <c r="C91" s="123"/>
      <c r="D91" s="124"/>
      <c r="E91" s="124"/>
      <c r="F91" s="124">
        <v>500000</v>
      </c>
      <c r="G91" s="124">
        <f t="shared" si="27"/>
        <v>500000</v>
      </c>
      <c r="H91" s="124">
        <v>250000</v>
      </c>
      <c r="I91" s="124">
        <f t="shared" si="26"/>
        <v>250000</v>
      </c>
      <c r="J91" s="37">
        <f>I91</f>
        <v>250000</v>
      </c>
      <c r="K91" s="37"/>
      <c r="L91" s="125"/>
    </row>
    <row r="92" spans="1:12" s="22" customFormat="1" x14ac:dyDescent="0.25">
      <c r="A92" s="24"/>
      <c r="B92" s="25" t="s">
        <v>291</v>
      </c>
      <c r="C92" s="88">
        <v>292</v>
      </c>
      <c r="D92" s="26"/>
      <c r="E92" s="26"/>
      <c r="F92" s="26">
        <f>383000+238000+171000</f>
        <v>792000</v>
      </c>
      <c r="G92" s="27">
        <f>SUM(D92:F92)</f>
        <v>792000</v>
      </c>
      <c r="H92" s="27">
        <v>765783</v>
      </c>
      <c r="I92" s="27">
        <f>G92-H92</f>
        <v>26217</v>
      </c>
      <c r="J92" s="27">
        <f>I92</f>
        <v>26217</v>
      </c>
      <c r="K92" s="27"/>
      <c r="L92" s="30"/>
    </row>
    <row r="93" spans="1:12" s="22" customFormat="1" x14ac:dyDescent="0.25">
      <c r="A93" s="24"/>
      <c r="B93" s="25" t="s">
        <v>296</v>
      </c>
      <c r="C93" s="88"/>
      <c r="D93" s="26"/>
      <c r="E93" s="26"/>
      <c r="F93" s="26">
        <v>9980</v>
      </c>
      <c r="G93" s="27">
        <f>SUM(D93:F93)</f>
        <v>9980</v>
      </c>
      <c r="H93" s="27">
        <f>G93</f>
        <v>9980</v>
      </c>
      <c r="I93" s="27">
        <f>G93-H93</f>
        <v>0</v>
      </c>
      <c r="J93" s="27"/>
      <c r="K93" s="27"/>
      <c r="L93" s="30"/>
    </row>
    <row r="94" spans="1:12" s="22" customFormat="1" x14ac:dyDescent="0.25">
      <c r="A94" s="24"/>
      <c r="B94" s="25" t="s">
        <v>298</v>
      </c>
      <c r="C94" s="88"/>
      <c r="D94" s="26"/>
      <c r="E94" s="26"/>
      <c r="F94" s="26">
        <v>9240</v>
      </c>
      <c r="G94" s="27">
        <f>SUM(D94:F94)</f>
        <v>9240</v>
      </c>
      <c r="H94" s="27">
        <f>G94</f>
        <v>9240</v>
      </c>
      <c r="I94" s="27">
        <f>G94-H94</f>
        <v>0</v>
      </c>
      <c r="J94" s="27"/>
      <c r="K94" s="27"/>
      <c r="L94" s="30"/>
    </row>
    <row r="95" spans="1:12" s="2" customFormat="1" x14ac:dyDescent="0.25">
      <c r="A95" s="61"/>
      <c r="B95" s="63" t="s">
        <v>301</v>
      </c>
      <c r="C95" s="63"/>
      <c r="D95" s="27"/>
      <c r="E95" s="27">
        <v>1651337</v>
      </c>
      <c r="F95" s="27"/>
      <c r="G95" s="27">
        <f>SUM(D95:F95)</f>
        <v>1651337</v>
      </c>
      <c r="H95" s="27">
        <f>1651337-268537</f>
        <v>1382800</v>
      </c>
      <c r="I95" s="27">
        <f>G95-H95</f>
        <v>268537</v>
      </c>
      <c r="J95" s="27">
        <f>I95</f>
        <v>268537</v>
      </c>
      <c r="K95" s="27"/>
    </row>
    <row r="96" spans="1:12" s="103" customFormat="1" x14ac:dyDescent="0.25">
      <c r="A96" s="99">
        <v>7</v>
      </c>
      <c r="B96" s="100" t="s">
        <v>247</v>
      </c>
      <c r="C96" s="100"/>
      <c r="D96" s="101">
        <f t="shared" ref="D96:K96" si="28">SUM(D97:D107)</f>
        <v>0</v>
      </c>
      <c r="E96" s="101">
        <f t="shared" si="28"/>
        <v>2871074</v>
      </c>
      <c r="F96" s="101">
        <f t="shared" si="28"/>
        <v>1637980</v>
      </c>
      <c r="G96" s="101">
        <f t="shared" si="28"/>
        <v>4509054</v>
      </c>
      <c r="H96" s="101">
        <f t="shared" si="28"/>
        <v>4416640</v>
      </c>
      <c r="I96" s="101">
        <f t="shared" si="28"/>
        <v>92414</v>
      </c>
      <c r="J96" s="101">
        <f t="shared" si="28"/>
        <v>0</v>
      </c>
      <c r="K96" s="101">
        <f t="shared" si="28"/>
        <v>92414</v>
      </c>
      <c r="L96" s="102">
        <v>4503774</v>
      </c>
    </row>
    <row r="97" spans="1:12" x14ac:dyDescent="0.25">
      <c r="A97" s="24"/>
      <c r="B97" s="35" t="s">
        <v>245</v>
      </c>
      <c r="C97" s="88">
        <v>428</v>
      </c>
      <c r="D97" s="27"/>
      <c r="E97" s="27"/>
      <c r="F97" s="27">
        <v>18000</v>
      </c>
      <c r="G97" s="27">
        <f t="shared" ref="G97:G99" si="29">SUM(D97:F97)</f>
        <v>18000</v>
      </c>
      <c r="H97" s="27">
        <f>G97</f>
        <v>18000</v>
      </c>
      <c r="I97" s="27">
        <f t="shared" ref="I97:I99" si="30">G97-H97</f>
        <v>0</v>
      </c>
      <c r="J97" s="27"/>
      <c r="K97" s="27"/>
    </row>
    <row r="98" spans="1:12" ht="31.5" x14ac:dyDescent="0.25">
      <c r="A98" s="24"/>
      <c r="B98" s="35" t="s">
        <v>259</v>
      </c>
      <c r="C98" s="88">
        <v>292</v>
      </c>
      <c r="D98" s="27"/>
      <c r="E98" s="27"/>
      <c r="F98" s="27">
        <v>456000</v>
      </c>
      <c r="G98" s="27">
        <f t="shared" si="29"/>
        <v>456000</v>
      </c>
      <c r="H98" s="27">
        <v>363586</v>
      </c>
      <c r="I98" s="27">
        <f t="shared" si="30"/>
        <v>92414</v>
      </c>
      <c r="J98" s="27"/>
      <c r="K98" s="27">
        <f>I98</f>
        <v>92414</v>
      </c>
    </row>
    <row r="99" spans="1:12" ht="31.5" x14ac:dyDescent="0.25">
      <c r="A99" s="24"/>
      <c r="B99" s="35" t="s">
        <v>269</v>
      </c>
      <c r="C99" s="88" t="s">
        <v>258</v>
      </c>
      <c r="D99" s="27"/>
      <c r="E99" s="27"/>
      <c r="F99" s="27">
        <v>9000</v>
      </c>
      <c r="G99" s="27">
        <f t="shared" si="29"/>
        <v>9000</v>
      </c>
      <c r="H99" s="27">
        <f>G99</f>
        <v>9000</v>
      </c>
      <c r="I99" s="27">
        <f t="shared" si="30"/>
        <v>0</v>
      </c>
      <c r="J99" s="27"/>
      <c r="K99" s="27"/>
    </row>
    <row r="100" spans="1:12" s="2" customFormat="1" ht="18.75" customHeight="1" x14ac:dyDescent="0.25">
      <c r="A100" s="61"/>
      <c r="B100" s="25" t="s">
        <v>273</v>
      </c>
      <c r="C100" s="88"/>
      <c r="D100" s="27"/>
      <c r="E100" s="27"/>
      <c r="F100" s="27">
        <v>72000</v>
      </c>
      <c r="G100" s="27">
        <f>SUM(D100:F100)</f>
        <v>72000</v>
      </c>
      <c r="H100" s="27">
        <f>G100</f>
        <v>72000</v>
      </c>
      <c r="I100" s="27">
        <f>G100-H100</f>
        <v>0</v>
      </c>
      <c r="J100" s="27"/>
      <c r="K100" s="27"/>
    </row>
    <row r="101" spans="1:12" s="2" customFormat="1" ht="31.5" x14ac:dyDescent="0.25">
      <c r="A101" s="61"/>
      <c r="B101" s="25" t="s">
        <v>276</v>
      </c>
      <c r="C101" s="88">
        <v>338</v>
      </c>
      <c r="D101" s="27"/>
      <c r="E101" s="27"/>
      <c r="F101" s="27">
        <v>566000</v>
      </c>
      <c r="G101" s="27">
        <f>SUM(D101:F101)</f>
        <v>566000</v>
      </c>
      <c r="H101" s="27">
        <f>G101</f>
        <v>566000</v>
      </c>
      <c r="I101" s="27">
        <f>G101-H101</f>
        <v>0</v>
      </c>
      <c r="J101" s="27"/>
      <c r="K101" s="27"/>
    </row>
    <row r="102" spans="1:12" s="22" customFormat="1" ht="31.5" x14ac:dyDescent="0.25">
      <c r="A102" s="24"/>
      <c r="B102" s="25" t="s">
        <v>278</v>
      </c>
      <c r="C102" s="88"/>
      <c r="D102" s="26"/>
      <c r="E102" s="26"/>
      <c r="F102" s="26">
        <v>8000</v>
      </c>
      <c r="G102" s="26">
        <f t="shared" ref="G102:G105" si="31">SUM(D102:F102)</f>
        <v>8000</v>
      </c>
      <c r="H102" s="26">
        <f>G102</f>
        <v>8000</v>
      </c>
      <c r="I102" s="26">
        <f t="shared" ref="I102:I105" si="32">G102-H102</f>
        <v>0</v>
      </c>
      <c r="J102" s="27"/>
      <c r="K102" s="27"/>
      <c r="L102" s="30"/>
    </row>
    <row r="103" spans="1:12" s="22" customFormat="1" ht="31.5" x14ac:dyDescent="0.25">
      <c r="A103" s="24"/>
      <c r="B103" s="25" t="s">
        <v>279</v>
      </c>
      <c r="C103" s="88">
        <v>428</v>
      </c>
      <c r="D103" s="26"/>
      <c r="E103" s="26"/>
      <c r="F103" s="26">
        <v>3700</v>
      </c>
      <c r="G103" s="26">
        <f t="shared" si="31"/>
        <v>3700</v>
      </c>
      <c r="H103" s="26">
        <f>G103</f>
        <v>3700</v>
      </c>
      <c r="I103" s="26">
        <f t="shared" si="32"/>
        <v>0</v>
      </c>
      <c r="J103" s="27"/>
      <c r="K103" s="27"/>
      <c r="L103" s="30"/>
    </row>
    <row r="104" spans="1:12" s="22" customFormat="1" x14ac:dyDescent="0.25">
      <c r="A104" s="24"/>
      <c r="B104" s="25" t="s">
        <v>282</v>
      </c>
      <c r="C104" s="88"/>
      <c r="D104" s="26"/>
      <c r="E104" s="26"/>
      <c r="F104" s="26"/>
      <c r="G104" s="26">
        <f t="shared" si="31"/>
        <v>0</v>
      </c>
      <c r="H104" s="26"/>
      <c r="I104" s="26">
        <f t="shared" si="32"/>
        <v>0</v>
      </c>
      <c r="J104" s="27"/>
      <c r="K104" s="27"/>
      <c r="L104" s="30"/>
    </row>
    <row r="105" spans="1:12" s="38" customFormat="1" x14ac:dyDescent="0.25">
      <c r="A105" s="36"/>
      <c r="B105" s="122" t="s">
        <v>283</v>
      </c>
      <c r="C105" s="123"/>
      <c r="D105" s="124"/>
      <c r="E105" s="124"/>
      <c r="F105" s="124">
        <v>500000</v>
      </c>
      <c r="G105" s="124">
        <f t="shared" si="31"/>
        <v>500000</v>
      </c>
      <c r="H105" s="124">
        <f>G105</f>
        <v>500000</v>
      </c>
      <c r="I105" s="124">
        <f t="shared" si="32"/>
        <v>0</v>
      </c>
      <c r="J105" s="37"/>
      <c r="K105" s="37"/>
      <c r="L105" s="125"/>
    </row>
    <row r="106" spans="1:12" s="22" customFormat="1" x14ac:dyDescent="0.25">
      <c r="A106" s="24"/>
      <c r="B106" s="25" t="s">
        <v>298</v>
      </c>
      <c r="C106" s="88"/>
      <c r="D106" s="26"/>
      <c r="E106" s="26"/>
      <c r="F106" s="26">
        <v>5280</v>
      </c>
      <c r="G106" s="27">
        <f>SUM(D106:F106)</f>
        <v>5280</v>
      </c>
      <c r="H106" s="27">
        <f>G106</f>
        <v>5280</v>
      </c>
      <c r="I106" s="27">
        <f>G106-H106</f>
        <v>0</v>
      </c>
      <c r="J106" s="27"/>
      <c r="K106" s="27"/>
      <c r="L106" s="30"/>
    </row>
    <row r="107" spans="1:12" s="2" customFormat="1" x14ac:dyDescent="0.25">
      <c r="A107" s="61"/>
      <c r="B107" s="63" t="s">
        <v>301</v>
      </c>
      <c r="C107" s="63"/>
      <c r="D107" s="27"/>
      <c r="E107" s="27">
        <v>2871074</v>
      </c>
      <c r="F107" s="27"/>
      <c r="G107" s="27">
        <f>SUM(D107:F107)</f>
        <v>2871074</v>
      </c>
      <c r="H107" s="27">
        <f>G107</f>
        <v>2871074</v>
      </c>
      <c r="I107" s="27">
        <f>G107-H107</f>
        <v>0</v>
      </c>
      <c r="J107" s="27"/>
      <c r="K107" s="27"/>
    </row>
    <row r="108" spans="1:12" s="103" customFormat="1" x14ac:dyDescent="0.25">
      <c r="A108" s="99">
        <v>8</v>
      </c>
      <c r="B108" s="100" t="s">
        <v>248</v>
      </c>
      <c r="C108" s="100"/>
      <c r="D108" s="101">
        <f t="shared" ref="D108:K108" si="33">SUM(D109:D116)</f>
        <v>0</v>
      </c>
      <c r="E108" s="101">
        <f t="shared" si="33"/>
        <v>2792079</v>
      </c>
      <c r="F108" s="101">
        <f t="shared" si="33"/>
        <v>569843</v>
      </c>
      <c r="G108" s="101">
        <f t="shared" si="33"/>
        <v>3361922</v>
      </c>
      <c r="H108" s="101">
        <f t="shared" si="33"/>
        <v>2628898</v>
      </c>
      <c r="I108" s="101">
        <f t="shared" si="33"/>
        <v>733024</v>
      </c>
      <c r="J108" s="101">
        <f t="shared" si="33"/>
        <v>733024</v>
      </c>
      <c r="K108" s="101">
        <f t="shared" si="33"/>
        <v>0</v>
      </c>
      <c r="L108" s="102">
        <v>3345752</v>
      </c>
    </row>
    <row r="109" spans="1:12" x14ac:dyDescent="0.25">
      <c r="A109" s="24"/>
      <c r="B109" s="35" t="s">
        <v>245</v>
      </c>
      <c r="C109" s="88">
        <v>428</v>
      </c>
      <c r="D109" s="27"/>
      <c r="E109" s="27"/>
      <c r="F109" s="27">
        <v>19800</v>
      </c>
      <c r="G109" s="27">
        <f t="shared" ref="G109:G110" si="34">SUM(D109:F109)</f>
        <v>19800</v>
      </c>
      <c r="H109" s="27">
        <f>G109</f>
        <v>19800</v>
      </c>
      <c r="I109" s="27">
        <f t="shared" ref="I109:I114" si="35">G109-H109</f>
        <v>0</v>
      </c>
      <c r="J109" s="27"/>
      <c r="K109" s="27"/>
    </row>
    <row r="110" spans="1:12" ht="31.5" x14ac:dyDescent="0.25">
      <c r="A110" s="24"/>
      <c r="B110" s="35" t="s">
        <v>269</v>
      </c>
      <c r="C110" s="88" t="s">
        <v>258</v>
      </c>
      <c r="D110" s="27"/>
      <c r="E110" s="27"/>
      <c r="F110" s="27">
        <v>7000</v>
      </c>
      <c r="G110" s="27">
        <f t="shared" si="34"/>
        <v>7000</v>
      </c>
      <c r="H110" s="27"/>
      <c r="I110" s="27">
        <f t="shared" si="35"/>
        <v>7000</v>
      </c>
      <c r="J110" s="27">
        <f>I110</f>
        <v>7000</v>
      </c>
      <c r="K110" s="27"/>
    </row>
    <row r="111" spans="1:12" s="22" customFormat="1" ht="31.5" x14ac:dyDescent="0.25">
      <c r="A111" s="24"/>
      <c r="B111" s="25" t="s">
        <v>278</v>
      </c>
      <c r="C111" s="88"/>
      <c r="D111" s="26"/>
      <c r="E111" s="26"/>
      <c r="F111" s="26">
        <v>7000</v>
      </c>
      <c r="G111" s="26">
        <f t="shared" ref="G111:G114" si="36">SUM(D111:F111)</f>
        <v>7000</v>
      </c>
      <c r="H111" s="26">
        <f>G111</f>
        <v>7000</v>
      </c>
      <c r="I111" s="26">
        <f t="shared" si="35"/>
        <v>0</v>
      </c>
      <c r="J111" s="27"/>
      <c r="K111" s="27"/>
      <c r="L111" s="30"/>
    </row>
    <row r="112" spans="1:12" s="22" customFormat="1" ht="31.5" x14ac:dyDescent="0.25">
      <c r="A112" s="24"/>
      <c r="B112" s="25" t="s">
        <v>279</v>
      </c>
      <c r="C112" s="88">
        <v>428</v>
      </c>
      <c r="D112" s="26"/>
      <c r="E112" s="26"/>
      <c r="F112" s="26">
        <v>19873</v>
      </c>
      <c r="G112" s="26">
        <f t="shared" si="36"/>
        <v>19873</v>
      </c>
      <c r="H112" s="26">
        <f>G112</f>
        <v>19873</v>
      </c>
      <c r="I112" s="26">
        <f t="shared" si="35"/>
        <v>0</v>
      </c>
      <c r="J112" s="27"/>
      <c r="K112" s="27"/>
      <c r="L112" s="30"/>
    </row>
    <row r="113" spans="1:12" s="22" customFormat="1" x14ac:dyDescent="0.25">
      <c r="A113" s="24"/>
      <c r="B113" s="25" t="s">
        <v>282</v>
      </c>
      <c r="C113" s="88"/>
      <c r="D113" s="26"/>
      <c r="E113" s="26"/>
      <c r="F113" s="26"/>
      <c r="G113" s="26">
        <f t="shared" si="36"/>
        <v>0</v>
      </c>
      <c r="H113" s="26"/>
      <c r="I113" s="26">
        <f t="shared" si="35"/>
        <v>0</v>
      </c>
      <c r="J113" s="27"/>
      <c r="K113" s="27"/>
      <c r="L113" s="30"/>
    </row>
    <row r="114" spans="1:12" s="38" customFormat="1" x14ac:dyDescent="0.25">
      <c r="A114" s="36"/>
      <c r="B114" s="122" t="s">
        <v>283</v>
      </c>
      <c r="C114" s="123"/>
      <c r="D114" s="124"/>
      <c r="E114" s="124"/>
      <c r="F114" s="124">
        <v>500000</v>
      </c>
      <c r="G114" s="124">
        <f t="shared" si="36"/>
        <v>500000</v>
      </c>
      <c r="H114" s="124">
        <v>72775</v>
      </c>
      <c r="I114" s="124">
        <f t="shared" si="35"/>
        <v>427225</v>
      </c>
      <c r="J114" s="37">
        <f>I114</f>
        <v>427225</v>
      </c>
      <c r="K114" s="37"/>
      <c r="L114" s="125"/>
    </row>
    <row r="115" spans="1:12" s="22" customFormat="1" x14ac:dyDescent="0.25">
      <c r="A115" s="24"/>
      <c r="B115" s="25" t="s">
        <v>298</v>
      </c>
      <c r="C115" s="88"/>
      <c r="D115" s="26"/>
      <c r="E115" s="26"/>
      <c r="F115" s="26">
        <v>16170</v>
      </c>
      <c r="G115" s="27">
        <f>SUM(D115:F115)</f>
        <v>16170</v>
      </c>
      <c r="H115" s="27">
        <f>G115</f>
        <v>16170</v>
      </c>
      <c r="I115" s="27">
        <f>G115-H115</f>
        <v>0</v>
      </c>
      <c r="J115" s="27"/>
      <c r="K115" s="27"/>
      <c r="L115" s="30"/>
    </row>
    <row r="116" spans="1:12" s="2" customFormat="1" x14ac:dyDescent="0.25">
      <c r="A116" s="61"/>
      <c r="B116" s="63" t="s">
        <v>301</v>
      </c>
      <c r="C116" s="63"/>
      <c r="D116" s="27"/>
      <c r="E116" s="27">
        <v>2792079</v>
      </c>
      <c r="F116" s="27"/>
      <c r="G116" s="27">
        <f>SUM(D116:F116)</f>
        <v>2792079</v>
      </c>
      <c r="H116" s="27">
        <v>2493280</v>
      </c>
      <c r="I116" s="27">
        <f>G116-H116</f>
        <v>298799</v>
      </c>
      <c r="J116" s="27">
        <f>I116</f>
        <v>298799</v>
      </c>
      <c r="K116" s="27"/>
    </row>
    <row r="117" spans="1:12" s="103" customFormat="1" x14ac:dyDescent="0.25">
      <c r="A117" s="99">
        <v>9</v>
      </c>
      <c r="B117" s="100" t="s">
        <v>249</v>
      </c>
      <c r="C117" s="100"/>
      <c r="D117" s="101">
        <f t="shared" ref="D117:K117" si="37">SUM(D118:D125)</f>
        <v>0</v>
      </c>
      <c r="E117" s="101">
        <f t="shared" si="37"/>
        <v>1849950</v>
      </c>
      <c r="F117" s="101">
        <f t="shared" si="37"/>
        <v>2376480</v>
      </c>
      <c r="G117" s="101">
        <f t="shared" si="37"/>
        <v>4226430</v>
      </c>
      <c r="H117" s="101">
        <f t="shared" si="37"/>
        <v>3892069</v>
      </c>
      <c r="I117" s="101">
        <f t="shared" si="37"/>
        <v>334361</v>
      </c>
      <c r="J117" s="101">
        <f t="shared" si="37"/>
        <v>283476</v>
      </c>
      <c r="K117" s="101">
        <f t="shared" si="37"/>
        <v>50885</v>
      </c>
      <c r="L117" s="102">
        <f>4211250</f>
        <v>4211250</v>
      </c>
    </row>
    <row r="118" spans="1:12" ht="19.5" customHeight="1" x14ac:dyDescent="0.25">
      <c r="A118" s="24"/>
      <c r="B118" s="35" t="s">
        <v>245</v>
      </c>
      <c r="C118" s="88">
        <v>428</v>
      </c>
      <c r="D118" s="27"/>
      <c r="E118" s="27"/>
      <c r="F118" s="27">
        <v>18900</v>
      </c>
      <c r="G118" s="27">
        <f t="shared" ref="G118:G119" si="38">SUM(D118:F118)</f>
        <v>18900</v>
      </c>
      <c r="H118" s="27">
        <f>G118</f>
        <v>18900</v>
      </c>
      <c r="I118" s="27">
        <f t="shared" ref="I118:I121" si="39">G118-H118</f>
        <v>0</v>
      </c>
      <c r="J118" s="27"/>
      <c r="K118" s="27"/>
    </row>
    <row r="119" spans="1:12" ht="31.5" x14ac:dyDescent="0.25">
      <c r="A119" s="24"/>
      <c r="B119" s="35" t="s">
        <v>269</v>
      </c>
      <c r="C119" s="88" t="s">
        <v>258</v>
      </c>
      <c r="D119" s="27"/>
      <c r="E119" s="27"/>
      <c r="F119" s="27">
        <v>31000</v>
      </c>
      <c r="G119" s="27">
        <f t="shared" si="38"/>
        <v>31000</v>
      </c>
      <c r="H119" s="27">
        <f>G119</f>
        <v>31000</v>
      </c>
      <c r="I119" s="27">
        <f t="shared" si="39"/>
        <v>0</v>
      </c>
      <c r="J119" s="27"/>
      <c r="K119" s="27"/>
    </row>
    <row r="120" spans="1:12" s="22" customFormat="1" ht="31.5" x14ac:dyDescent="0.25">
      <c r="A120" s="24"/>
      <c r="B120" s="25" t="s">
        <v>278</v>
      </c>
      <c r="C120" s="88"/>
      <c r="D120" s="26"/>
      <c r="E120" s="26"/>
      <c r="F120" s="26">
        <v>10000</v>
      </c>
      <c r="G120" s="26">
        <f t="shared" ref="G120:G121" si="40">SUM(D120:F120)</f>
        <v>10000</v>
      </c>
      <c r="H120" s="26">
        <f>G120</f>
        <v>10000</v>
      </c>
      <c r="I120" s="26">
        <f t="shared" si="39"/>
        <v>0</v>
      </c>
      <c r="J120" s="27"/>
      <c r="K120" s="27"/>
      <c r="L120" s="30"/>
    </row>
    <row r="121" spans="1:12" s="22" customFormat="1" ht="31.5" x14ac:dyDescent="0.25">
      <c r="A121" s="24"/>
      <c r="B121" s="25" t="s">
        <v>279</v>
      </c>
      <c r="C121" s="88">
        <v>428</v>
      </c>
      <c r="D121" s="26"/>
      <c r="E121" s="26"/>
      <c r="F121" s="26">
        <v>1400</v>
      </c>
      <c r="G121" s="26">
        <f t="shared" si="40"/>
        <v>1400</v>
      </c>
      <c r="H121" s="26">
        <f>G121</f>
        <v>1400</v>
      </c>
      <c r="I121" s="26">
        <f t="shared" si="39"/>
        <v>0</v>
      </c>
      <c r="J121" s="27"/>
      <c r="K121" s="27"/>
      <c r="L121" s="30"/>
    </row>
    <row r="122" spans="1:12" s="22" customFormat="1" x14ac:dyDescent="0.25">
      <c r="A122" s="24"/>
      <c r="B122" s="25" t="s">
        <v>313</v>
      </c>
      <c r="C122" s="88">
        <v>292</v>
      </c>
      <c r="D122" s="26"/>
      <c r="E122" s="26"/>
      <c r="F122" s="26">
        <v>300000</v>
      </c>
      <c r="G122" s="27">
        <f>SUM(D122:F122)</f>
        <v>300000</v>
      </c>
      <c r="H122" s="27">
        <v>249115</v>
      </c>
      <c r="I122" s="27">
        <f>G122-H122</f>
        <v>50885</v>
      </c>
      <c r="J122" s="27"/>
      <c r="K122" s="27">
        <f>I122</f>
        <v>50885</v>
      </c>
      <c r="L122" s="30"/>
    </row>
    <row r="123" spans="1:12" s="22" customFormat="1" ht="31.5" x14ac:dyDescent="0.25">
      <c r="A123" s="24"/>
      <c r="B123" s="25" t="s">
        <v>314</v>
      </c>
      <c r="C123" s="88">
        <v>292</v>
      </c>
      <c r="D123" s="26"/>
      <c r="E123" s="26"/>
      <c r="F123" s="26">
        <f>2000000</f>
        <v>2000000</v>
      </c>
      <c r="G123" s="27">
        <f>SUM(D123:F123)</f>
        <v>2000000</v>
      </c>
      <c r="H123" s="27">
        <v>1716854</v>
      </c>
      <c r="I123" s="27">
        <f>G123-H123</f>
        <v>283146</v>
      </c>
      <c r="J123" s="27">
        <f>I123</f>
        <v>283146</v>
      </c>
      <c r="K123" s="27"/>
      <c r="L123" s="30"/>
    </row>
    <row r="124" spans="1:12" s="22" customFormat="1" x14ac:dyDescent="0.25">
      <c r="A124" s="24"/>
      <c r="B124" s="25" t="s">
        <v>298</v>
      </c>
      <c r="C124" s="88"/>
      <c r="D124" s="26"/>
      <c r="E124" s="26"/>
      <c r="F124" s="26">
        <v>15180</v>
      </c>
      <c r="G124" s="27">
        <f>SUM(D124:F124)</f>
        <v>15180</v>
      </c>
      <c r="H124" s="27">
        <v>14850</v>
      </c>
      <c r="I124" s="27">
        <f>G124-H124</f>
        <v>330</v>
      </c>
      <c r="J124" s="27">
        <f>I124</f>
        <v>330</v>
      </c>
      <c r="K124" s="27"/>
      <c r="L124" s="30"/>
    </row>
    <row r="125" spans="1:12" s="2" customFormat="1" x14ac:dyDescent="0.25">
      <c r="A125" s="61"/>
      <c r="B125" s="63" t="s">
        <v>301</v>
      </c>
      <c r="C125" s="63"/>
      <c r="D125" s="27"/>
      <c r="E125" s="27">
        <v>1849950</v>
      </c>
      <c r="F125" s="27"/>
      <c r="G125" s="27">
        <f>SUM(D125:F125)</f>
        <v>1849950</v>
      </c>
      <c r="H125" s="27">
        <f>G125</f>
        <v>1849950</v>
      </c>
      <c r="I125" s="27">
        <f>G125-H125</f>
        <v>0</v>
      </c>
      <c r="J125" s="27"/>
      <c r="K125" s="27"/>
    </row>
    <row r="126" spans="1:12" s="103" customFormat="1" x14ac:dyDescent="0.25">
      <c r="A126" s="99">
        <v>10</v>
      </c>
      <c r="B126" s="100" t="s">
        <v>250</v>
      </c>
      <c r="C126" s="100"/>
      <c r="D126" s="101">
        <f t="shared" ref="D126:K126" si="41">SUM(D127:D136)</f>
        <v>0</v>
      </c>
      <c r="E126" s="101">
        <f t="shared" si="41"/>
        <v>2451519</v>
      </c>
      <c r="F126" s="101">
        <f t="shared" si="41"/>
        <v>1095570</v>
      </c>
      <c r="G126" s="101">
        <f t="shared" si="41"/>
        <v>3547089</v>
      </c>
      <c r="H126" s="101">
        <f t="shared" si="41"/>
        <v>3440023</v>
      </c>
      <c r="I126" s="101">
        <f t="shared" si="41"/>
        <v>107066</v>
      </c>
      <c r="J126" s="101">
        <f t="shared" si="41"/>
        <v>104036</v>
      </c>
      <c r="K126" s="101">
        <f t="shared" si="41"/>
        <v>3030</v>
      </c>
      <c r="L126" s="102">
        <v>3535299</v>
      </c>
    </row>
    <row r="127" spans="1:12" x14ac:dyDescent="0.25">
      <c r="A127" s="24"/>
      <c r="B127" s="35" t="s">
        <v>245</v>
      </c>
      <c r="C127" s="88">
        <v>428</v>
      </c>
      <c r="D127" s="27"/>
      <c r="E127" s="27"/>
      <c r="F127" s="27">
        <v>19800</v>
      </c>
      <c r="G127" s="27">
        <f t="shared" ref="G127:G129" si="42">SUM(D127:F127)</f>
        <v>19800</v>
      </c>
      <c r="H127" s="27">
        <v>17100</v>
      </c>
      <c r="I127" s="27">
        <f t="shared" ref="I127:I129" si="43">G127-H127</f>
        <v>2700</v>
      </c>
      <c r="J127" s="27"/>
      <c r="K127" s="27">
        <f>I127</f>
        <v>2700</v>
      </c>
    </row>
    <row r="128" spans="1:12" x14ac:dyDescent="0.25">
      <c r="A128" s="24"/>
      <c r="B128" s="35" t="s">
        <v>261</v>
      </c>
      <c r="C128" s="88">
        <v>338</v>
      </c>
      <c r="D128" s="27"/>
      <c r="E128" s="27"/>
      <c r="F128" s="27">
        <v>84300</v>
      </c>
      <c r="G128" s="27">
        <f t="shared" si="42"/>
        <v>84300</v>
      </c>
      <c r="H128" s="27">
        <f>G128</f>
        <v>84300</v>
      </c>
      <c r="I128" s="27">
        <f t="shared" si="43"/>
        <v>0</v>
      </c>
      <c r="J128" s="27"/>
      <c r="K128" s="27"/>
    </row>
    <row r="129" spans="1:12" ht="31.5" x14ac:dyDescent="0.25">
      <c r="A129" s="24"/>
      <c r="B129" s="35" t="s">
        <v>269</v>
      </c>
      <c r="C129" s="88" t="s">
        <v>258</v>
      </c>
      <c r="D129" s="27"/>
      <c r="E129" s="27"/>
      <c r="F129" s="27">
        <v>4000</v>
      </c>
      <c r="G129" s="27">
        <f t="shared" si="42"/>
        <v>4000</v>
      </c>
      <c r="H129" s="27">
        <f>G129</f>
        <v>4000</v>
      </c>
      <c r="I129" s="27">
        <f t="shared" si="43"/>
        <v>0</v>
      </c>
      <c r="J129" s="27"/>
      <c r="K129" s="27"/>
    </row>
    <row r="130" spans="1:12" s="2" customFormat="1" ht="31.5" x14ac:dyDescent="0.25">
      <c r="A130" s="61"/>
      <c r="B130" s="25" t="s">
        <v>275</v>
      </c>
      <c r="C130" s="88">
        <v>338</v>
      </c>
      <c r="D130" s="27"/>
      <c r="E130" s="27"/>
      <c r="F130" s="27">
        <v>463600</v>
      </c>
      <c r="G130" s="27">
        <f>SUM(D130:F130)</f>
        <v>463600</v>
      </c>
      <c r="H130" s="27">
        <f>G130</f>
        <v>463600</v>
      </c>
      <c r="I130" s="27">
        <f>G130-H130</f>
        <v>0</v>
      </c>
      <c r="J130" s="27"/>
      <c r="K130" s="27"/>
    </row>
    <row r="131" spans="1:12" s="22" customFormat="1" ht="31.5" x14ac:dyDescent="0.25">
      <c r="A131" s="24"/>
      <c r="B131" s="25" t="s">
        <v>278</v>
      </c>
      <c r="C131" s="88"/>
      <c r="D131" s="26"/>
      <c r="E131" s="26"/>
      <c r="F131" s="26">
        <v>3000</v>
      </c>
      <c r="G131" s="26">
        <f t="shared" ref="G131:G133" si="44">SUM(D131:F131)</f>
        <v>3000</v>
      </c>
      <c r="H131" s="26">
        <f>G131</f>
        <v>3000</v>
      </c>
      <c r="I131" s="26">
        <f t="shared" ref="I131:I133" si="45">G131-H131</f>
        <v>0</v>
      </c>
      <c r="J131" s="27"/>
      <c r="K131" s="27"/>
      <c r="L131" s="30"/>
    </row>
    <row r="132" spans="1:12" s="22" customFormat="1" x14ac:dyDescent="0.25">
      <c r="A132" s="24"/>
      <c r="B132" s="25" t="s">
        <v>282</v>
      </c>
      <c r="C132" s="88"/>
      <c r="D132" s="26"/>
      <c r="E132" s="26"/>
      <c r="F132" s="26"/>
      <c r="G132" s="26">
        <f t="shared" si="44"/>
        <v>0</v>
      </c>
      <c r="H132" s="26"/>
      <c r="I132" s="26">
        <f t="shared" si="45"/>
        <v>0</v>
      </c>
      <c r="J132" s="27"/>
      <c r="K132" s="27"/>
      <c r="L132" s="30"/>
    </row>
    <row r="133" spans="1:12" s="38" customFormat="1" x14ac:dyDescent="0.25">
      <c r="A133" s="36"/>
      <c r="B133" s="122" t="s">
        <v>283</v>
      </c>
      <c r="C133" s="123"/>
      <c r="D133" s="124"/>
      <c r="E133" s="124"/>
      <c r="F133" s="124">
        <v>500000</v>
      </c>
      <c r="G133" s="124">
        <f t="shared" si="44"/>
        <v>500000</v>
      </c>
      <c r="H133" s="124">
        <v>395964</v>
      </c>
      <c r="I133" s="124">
        <f t="shared" si="45"/>
        <v>104036</v>
      </c>
      <c r="J133" s="37">
        <f>I133</f>
        <v>104036</v>
      </c>
      <c r="K133" s="37"/>
      <c r="L133" s="125"/>
    </row>
    <row r="134" spans="1:12" s="22" customFormat="1" x14ac:dyDescent="0.25">
      <c r="A134" s="24"/>
      <c r="B134" s="25" t="s">
        <v>295</v>
      </c>
      <c r="C134" s="88"/>
      <c r="D134" s="26"/>
      <c r="E134" s="26"/>
      <c r="F134" s="26">
        <v>9980</v>
      </c>
      <c r="G134" s="27">
        <f>SUM(D134:F134)</f>
        <v>9980</v>
      </c>
      <c r="H134" s="27">
        <f>G134</f>
        <v>9980</v>
      </c>
      <c r="I134" s="27">
        <f>G134-H134</f>
        <v>0</v>
      </c>
      <c r="J134" s="27"/>
      <c r="K134" s="27"/>
      <c r="L134" s="30"/>
    </row>
    <row r="135" spans="1:12" s="22" customFormat="1" x14ac:dyDescent="0.25">
      <c r="A135" s="24"/>
      <c r="B135" s="25" t="s">
        <v>298</v>
      </c>
      <c r="C135" s="88"/>
      <c r="D135" s="26"/>
      <c r="E135" s="26"/>
      <c r="F135" s="26">
        <v>10890</v>
      </c>
      <c r="G135" s="27">
        <f>SUM(D135:F135)</f>
        <v>10890</v>
      </c>
      <c r="H135" s="27">
        <v>10560</v>
      </c>
      <c r="I135" s="27">
        <f>G135-H135</f>
        <v>330</v>
      </c>
      <c r="J135" s="27"/>
      <c r="K135" s="27">
        <f>I135</f>
        <v>330</v>
      </c>
      <c r="L135" s="30"/>
    </row>
    <row r="136" spans="1:12" s="2" customFormat="1" x14ac:dyDescent="0.25">
      <c r="A136" s="61"/>
      <c r="B136" s="63" t="s">
        <v>301</v>
      </c>
      <c r="C136" s="63"/>
      <c r="D136" s="27"/>
      <c r="E136" s="27">
        <v>2451519</v>
      </c>
      <c r="F136" s="27"/>
      <c r="G136" s="27">
        <f>SUM(D136:F136)</f>
        <v>2451519</v>
      </c>
      <c r="H136" s="27">
        <f>G136</f>
        <v>2451519</v>
      </c>
      <c r="I136" s="27">
        <f>G136-H136</f>
        <v>0</v>
      </c>
      <c r="J136" s="27"/>
      <c r="K136" s="27"/>
    </row>
    <row r="137" spans="1:12" s="103" customFormat="1" x14ac:dyDescent="0.25">
      <c r="A137" s="99">
        <v>11</v>
      </c>
      <c r="B137" s="100" t="s">
        <v>251</v>
      </c>
      <c r="C137" s="100"/>
      <c r="D137" s="101">
        <f t="shared" ref="D137:K137" si="46">SUM(D138:D152)</f>
        <v>0</v>
      </c>
      <c r="E137" s="101">
        <f t="shared" si="46"/>
        <v>2757450</v>
      </c>
      <c r="F137" s="101">
        <f t="shared" si="46"/>
        <v>3710870</v>
      </c>
      <c r="G137" s="101">
        <f t="shared" si="46"/>
        <v>6468320</v>
      </c>
      <c r="H137" s="101">
        <f t="shared" si="46"/>
        <v>0</v>
      </c>
      <c r="I137" s="101">
        <f t="shared" si="46"/>
        <v>6468320</v>
      </c>
      <c r="J137" s="101">
        <f t="shared" si="46"/>
        <v>0</v>
      </c>
      <c r="K137" s="101">
        <f t="shared" si="46"/>
        <v>0</v>
      </c>
      <c r="L137" s="102">
        <v>6468320</v>
      </c>
    </row>
    <row r="138" spans="1:12" x14ac:dyDescent="0.25">
      <c r="A138" s="24"/>
      <c r="B138" s="35" t="s">
        <v>245</v>
      </c>
      <c r="C138" s="88">
        <v>428</v>
      </c>
      <c r="D138" s="27"/>
      <c r="E138" s="27"/>
      <c r="F138" s="27">
        <v>21600</v>
      </c>
      <c r="G138" s="27">
        <f t="shared" ref="G138:G142" si="47">SUM(D138:F138)</f>
        <v>21600</v>
      </c>
      <c r="H138" s="47"/>
      <c r="I138" s="27">
        <f t="shared" ref="I138:I142" si="48">G138-H138</f>
        <v>21600</v>
      </c>
      <c r="J138" s="47"/>
      <c r="K138" s="47"/>
    </row>
    <row r="139" spans="1:12" ht="31.5" x14ac:dyDescent="0.25">
      <c r="A139" s="24"/>
      <c r="B139" s="35" t="s">
        <v>254</v>
      </c>
      <c r="C139" s="88">
        <v>338</v>
      </c>
      <c r="D139" s="27"/>
      <c r="E139" s="27"/>
      <c r="F139" s="27">
        <v>25000</v>
      </c>
      <c r="G139" s="27">
        <f t="shared" si="47"/>
        <v>25000</v>
      </c>
      <c r="H139" s="47"/>
      <c r="I139" s="27">
        <f t="shared" si="48"/>
        <v>25000</v>
      </c>
      <c r="J139" s="47"/>
      <c r="K139" s="47"/>
    </row>
    <row r="140" spans="1:12" x14ac:dyDescent="0.25">
      <c r="A140" s="24"/>
      <c r="B140" s="35" t="s">
        <v>260</v>
      </c>
      <c r="C140" s="88">
        <v>338</v>
      </c>
      <c r="D140" s="27"/>
      <c r="E140" s="27"/>
      <c r="F140" s="27">
        <v>477570</v>
      </c>
      <c r="G140" s="27">
        <f t="shared" si="47"/>
        <v>477570</v>
      </c>
      <c r="H140" s="47"/>
      <c r="I140" s="27">
        <f t="shared" si="48"/>
        <v>477570</v>
      </c>
      <c r="J140" s="47"/>
      <c r="K140" s="47"/>
    </row>
    <row r="141" spans="1:12" ht="31.5" x14ac:dyDescent="0.25">
      <c r="A141" s="24"/>
      <c r="B141" s="35" t="s">
        <v>262</v>
      </c>
      <c r="C141" s="88">
        <v>338</v>
      </c>
      <c r="D141" s="27"/>
      <c r="E141" s="27"/>
      <c r="F141" s="27">
        <v>327000</v>
      </c>
      <c r="G141" s="27">
        <f t="shared" si="47"/>
        <v>327000</v>
      </c>
      <c r="H141" s="47"/>
      <c r="I141" s="27">
        <f t="shared" si="48"/>
        <v>327000</v>
      </c>
      <c r="J141" s="47"/>
      <c r="K141" s="47"/>
    </row>
    <row r="142" spans="1:12" ht="31.5" x14ac:dyDescent="0.25">
      <c r="A142" s="24"/>
      <c r="B142" s="35" t="s">
        <v>269</v>
      </c>
      <c r="C142" s="88" t="s">
        <v>258</v>
      </c>
      <c r="D142" s="27"/>
      <c r="E142" s="27"/>
      <c r="F142" s="27">
        <v>6000</v>
      </c>
      <c r="G142" s="27">
        <f t="shared" si="47"/>
        <v>6000</v>
      </c>
      <c r="H142" s="47"/>
      <c r="I142" s="27">
        <f t="shared" si="48"/>
        <v>6000</v>
      </c>
      <c r="J142" s="47"/>
      <c r="K142" s="47"/>
    </row>
    <row r="143" spans="1:12" s="2" customFormat="1" x14ac:dyDescent="0.25">
      <c r="A143" s="61"/>
      <c r="B143" s="25" t="s">
        <v>273</v>
      </c>
      <c r="C143" s="88"/>
      <c r="D143" s="27"/>
      <c r="E143" s="27"/>
      <c r="F143" s="27">
        <v>91000</v>
      </c>
      <c r="G143" s="27">
        <f>SUM(D143:F143)</f>
        <v>91000</v>
      </c>
      <c r="H143" s="47"/>
      <c r="I143" s="27">
        <f>G143-H143</f>
        <v>91000</v>
      </c>
      <c r="J143" s="47"/>
      <c r="K143" s="47"/>
    </row>
    <row r="144" spans="1:12" s="2" customFormat="1" ht="31.5" x14ac:dyDescent="0.25">
      <c r="A144" s="61"/>
      <c r="B144" s="25" t="s">
        <v>274</v>
      </c>
      <c r="C144" s="88">
        <v>338</v>
      </c>
      <c r="D144" s="27"/>
      <c r="E144" s="27"/>
      <c r="F144" s="27">
        <v>1873000</v>
      </c>
      <c r="G144" s="27">
        <f>SUM(D144:F144)</f>
        <v>1873000</v>
      </c>
      <c r="H144" s="47"/>
      <c r="I144" s="27">
        <f>G144-H144</f>
        <v>1873000</v>
      </c>
      <c r="J144" s="47"/>
      <c r="K144" s="47"/>
    </row>
    <row r="145" spans="1:12" s="22" customFormat="1" ht="31.5" x14ac:dyDescent="0.25">
      <c r="A145" s="24"/>
      <c r="B145" s="25" t="s">
        <v>278</v>
      </c>
      <c r="C145" s="88"/>
      <c r="D145" s="26"/>
      <c r="E145" s="26"/>
      <c r="F145" s="26">
        <v>5000</v>
      </c>
      <c r="G145" s="26">
        <f t="shared" ref="G145:G148" si="49">SUM(D145:F145)</f>
        <v>5000</v>
      </c>
      <c r="H145" s="134"/>
      <c r="I145" s="26">
        <f t="shared" ref="I145:I148" si="50">G145-H145</f>
        <v>5000</v>
      </c>
      <c r="J145" s="47"/>
      <c r="K145" s="47"/>
      <c r="L145" s="30"/>
    </row>
    <row r="146" spans="1:12" s="22" customFormat="1" ht="31.5" x14ac:dyDescent="0.25">
      <c r="A146" s="24"/>
      <c r="B146" s="25" t="s">
        <v>279</v>
      </c>
      <c r="C146" s="88">
        <v>428</v>
      </c>
      <c r="D146" s="26"/>
      <c r="E146" s="26"/>
      <c r="F146" s="26">
        <v>14700</v>
      </c>
      <c r="G146" s="26">
        <f t="shared" si="49"/>
        <v>14700</v>
      </c>
      <c r="H146" s="134"/>
      <c r="I146" s="26">
        <f t="shared" si="50"/>
        <v>14700</v>
      </c>
      <c r="J146" s="47"/>
      <c r="K146" s="47"/>
      <c r="L146" s="30"/>
    </row>
    <row r="147" spans="1:12" s="22" customFormat="1" x14ac:dyDescent="0.25">
      <c r="A147" s="24"/>
      <c r="B147" s="25" t="s">
        <v>282</v>
      </c>
      <c r="C147" s="88"/>
      <c r="D147" s="26"/>
      <c r="E147" s="26"/>
      <c r="F147" s="26"/>
      <c r="G147" s="26">
        <f t="shared" si="49"/>
        <v>0</v>
      </c>
      <c r="H147" s="134"/>
      <c r="I147" s="26">
        <f t="shared" si="50"/>
        <v>0</v>
      </c>
      <c r="J147" s="47"/>
      <c r="K147" s="47"/>
      <c r="L147" s="30"/>
    </row>
    <row r="148" spans="1:12" s="38" customFormat="1" x14ac:dyDescent="0.25">
      <c r="A148" s="36"/>
      <c r="B148" s="122" t="s">
        <v>283</v>
      </c>
      <c r="C148" s="123"/>
      <c r="D148" s="124"/>
      <c r="E148" s="124"/>
      <c r="F148" s="124">
        <v>500000</v>
      </c>
      <c r="G148" s="124">
        <f t="shared" si="49"/>
        <v>500000</v>
      </c>
      <c r="H148" s="135"/>
      <c r="I148" s="124">
        <f t="shared" si="50"/>
        <v>500000</v>
      </c>
      <c r="J148" s="93"/>
      <c r="K148" s="93"/>
      <c r="L148" s="125"/>
    </row>
    <row r="149" spans="1:12" s="22" customFormat="1" x14ac:dyDescent="0.25">
      <c r="A149" s="24"/>
      <c r="B149" s="25" t="s">
        <v>289</v>
      </c>
      <c r="C149" s="88">
        <v>292</v>
      </c>
      <c r="D149" s="26"/>
      <c r="E149" s="26"/>
      <c r="F149" s="26">
        <v>370000</v>
      </c>
      <c r="G149" s="27">
        <f>SUM(D149:F149)</f>
        <v>370000</v>
      </c>
      <c r="H149" s="47"/>
      <c r="I149" s="27">
        <f>G149-H149</f>
        <v>370000</v>
      </c>
      <c r="J149" s="47"/>
      <c r="K149" s="47"/>
      <c r="L149" s="30"/>
    </row>
    <row r="150" spans="1:12" s="22" customFormat="1" x14ac:dyDescent="0.25">
      <c r="A150" s="24"/>
      <c r="B150" s="25" t="s">
        <v>298</v>
      </c>
      <c r="C150" s="88"/>
      <c r="D150" s="26"/>
      <c r="E150" s="26"/>
      <c r="F150" s="26">
        <v>11550</v>
      </c>
      <c r="G150" s="27">
        <f>SUM(D150:F150)</f>
        <v>11550</v>
      </c>
      <c r="H150" s="47"/>
      <c r="I150" s="27">
        <f>G150-H150</f>
        <v>11550</v>
      </c>
      <c r="J150" s="47"/>
      <c r="K150" s="47"/>
      <c r="L150" s="30"/>
    </row>
    <row r="151" spans="1:12" s="2" customFormat="1" x14ac:dyDescent="0.25">
      <c r="A151" s="61"/>
      <c r="B151" s="63" t="s">
        <v>301</v>
      </c>
      <c r="C151" s="63"/>
      <c r="D151" s="27"/>
      <c r="E151" s="27">
        <v>2757450</v>
      </c>
      <c r="F151" s="27"/>
      <c r="G151" s="27">
        <f>SUM(D151:F151)</f>
        <v>2757450</v>
      </c>
      <c r="H151" s="47"/>
      <c r="I151" s="27">
        <f>G151-H151</f>
        <v>2757450</v>
      </c>
      <c r="J151" s="47"/>
      <c r="K151" s="47"/>
    </row>
    <row r="152" spans="1:12" s="2" customFormat="1" x14ac:dyDescent="0.25">
      <c r="A152" s="61"/>
      <c r="B152" s="136" t="s">
        <v>302</v>
      </c>
      <c r="C152" s="63"/>
      <c r="D152" s="27"/>
      <c r="E152" s="27"/>
      <c r="F152" s="47">
        <f>L137-SUM(G138:G151)</f>
        <v>-11550</v>
      </c>
      <c r="G152" s="27">
        <f>SUM(D152:F152)</f>
        <v>-11550</v>
      </c>
      <c r="H152" s="47"/>
      <c r="I152" s="27">
        <f>G152-H152</f>
        <v>-11550</v>
      </c>
      <c r="J152" s="47"/>
      <c r="K152" s="47"/>
    </row>
    <row r="153" spans="1:12" s="103" customFormat="1" x14ac:dyDescent="0.25">
      <c r="A153" s="99">
        <v>12</v>
      </c>
      <c r="B153" s="100" t="s">
        <v>252</v>
      </c>
      <c r="C153" s="100"/>
      <c r="D153" s="101">
        <f t="shared" ref="D153:K153" si="51">SUM(D154:D167)</f>
        <v>0</v>
      </c>
      <c r="E153" s="101">
        <f t="shared" si="51"/>
        <v>5613080</v>
      </c>
      <c r="F153" s="101">
        <f t="shared" si="51"/>
        <v>6049400</v>
      </c>
      <c r="G153" s="101">
        <f t="shared" si="51"/>
        <v>11662480</v>
      </c>
      <c r="H153" s="101">
        <f t="shared" si="51"/>
        <v>10995210</v>
      </c>
      <c r="I153" s="101">
        <f t="shared" si="51"/>
        <v>667270</v>
      </c>
      <c r="J153" s="101">
        <f t="shared" si="51"/>
        <v>667270</v>
      </c>
      <c r="K153" s="101">
        <f t="shared" si="51"/>
        <v>0</v>
      </c>
      <c r="L153" s="102">
        <f>11652480+10000</f>
        <v>11662480</v>
      </c>
    </row>
    <row r="154" spans="1:12" x14ac:dyDescent="0.25">
      <c r="A154" s="24"/>
      <c r="B154" s="35" t="s">
        <v>245</v>
      </c>
      <c r="C154" s="88">
        <v>428</v>
      </c>
      <c r="D154" s="27"/>
      <c r="E154" s="27"/>
      <c r="F154" s="27">
        <v>19800</v>
      </c>
      <c r="G154" s="27">
        <f t="shared" ref="G154:G157" si="52">SUM(D154:F154)</f>
        <v>19800</v>
      </c>
      <c r="H154" s="27">
        <f>G154</f>
        <v>19800</v>
      </c>
      <c r="I154" s="27">
        <f t="shared" ref="I154:I157" si="53">G154-H154</f>
        <v>0</v>
      </c>
      <c r="J154" s="27"/>
      <c r="K154" s="27"/>
    </row>
    <row r="155" spans="1:12" ht="31.5" x14ac:dyDescent="0.25">
      <c r="A155" s="104"/>
      <c r="B155" s="105" t="s">
        <v>256</v>
      </c>
      <c r="C155" s="106">
        <v>292</v>
      </c>
      <c r="D155" s="107"/>
      <c r="E155" s="107"/>
      <c r="F155" s="107">
        <v>380000</v>
      </c>
      <c r="G155" s="107">
        <f t="shared" si="52"/>
        <v>380000</v>
      </c>
      <c r="H155" s="107">
        <f>G155</f>
        <v>380000</v>
      </c>
      <c r="I155" s="107">
        <f t="shared" si="53"/>
        <v>0</v>
      </c>
      <c r="J155" s="107"/>
      <c r="K155" s="107"/>
    </row>
    <row r="156" spans="1:12" ht="31.5" x14ac:dyDescent="0.25">
      <c r="A156" s="24"/>
      <c r="B156" s="35" t="s">
        <v>269</v>
      </c>
      <c r="C156" s="88" t="s">
        <v>258</v>
      </c>
      <c r="D156" s="27"/>
      <c r="E156" s="27"/>
      <c r="F156" s="27">
        <v>18000</v>
      </c>
      <c r="G156" s="27">
        <f t="shared" si="52"/>
        <v>18000</v>
      </c>
      <c r="H156" s="27">
        <f>G156</f>
        <v>18000</v>
      </c>
      <c r="I156" s="27">
        <f t="shared" si="53"/>
        <v>0</v>
      </c>
      <c r="J156" s="27"/>
      <c r="K156" s="27"/>
    </row>
    <row r="157" spans="1:12" ht="31.5" x14ac:dyDescent="0.25">
      <c r="A157" s="24"/>
      <c r="B157" s="35" t="s">
        <v>272</v>
      </c>
      <c r="C157" s="88">
        <v>398</v>
      </c>
      <c r="D157" s="27"/>
      <c r="E157" s="27"/>
      <c r="F157" s="27">
        <v>154800</v>
      </c>
      <c r="G157" s="27">
        <f t="shared" si="52"/>
        <v>154800</v>
      </c>
      <c r="H157" s="27">
        <f>G157</f>
        <v>154800</v>
      </c>
      <c r="I157" s="27">
        <f t="shared" si="53"/>
        <v>0</v>
      </c>
      <c r="J157" s="27"/>
      <c r="K157" s="27"/>
    </row>
    <row r="158" spans="1:12" s="2" customFormat="1" x14ac:dyDescent="0.25">
      <c r="A158" s="61"/>
      <c r="B158" s="25" t="s">
        <v>273</v>
      </c>
      <c r="C158" s="88"/>
      <c r="D158" s="27"/>
      <c r="E158" s="27"/>
      <c r="F158" s="27">
        <v>151000</v>
      </c>
      <c r="G158" s="27">
        <f>SUM(D158:F158)</f>
        <v>151000</v>
      </c>
      <c r="H158" s="27">
        <v>110000</v>
      </c>
      <c r="I158" s="27">
        <f>G158-H158</f>
        <v>41000</v>
      </c>
      <c r="J158" s="27">
        <f>I158</f>
        <v>41000</v>
      </c>
      <c r="K158" s="27"/>
    </row>
    <row r="159" spans="1:12" s="22" customFormat="1" ht="31.5" x14ac:dyDescent="0.25">
      <c r="A159" s="24"/>
      <c r="B159" s="25" t="s">
        <v>278</v>
      </c>
      <c r="C159" s="88"/>
      <c r="D159" s="26"/>
      <c r="E159" s="26"/>
      <c r="F159" s="26">
        <v>8000</v>
      </c>
      <c r="G159" s="26">
        <f t="shared" ref="G159:G163" si="54">SUM(D159:F159)</f>
        <v>8000</v>
      </c>
      <c r="H159" s="26">
        <f>G159</f>
        <v>8000</v>
      </c>
      <c r="I159" s="26">
        <f t="shared" ref="I159:I163" si="55">G159-H159</f>
        <v>0</v>
      </c>
      <c r="J159" s="27"/>
      <c r="K159" s="27"/>
      <c r="L159" s="30"/>
    </row>
    <row r="160" spans="1:12" s="22" customFormat="1" ht="31.5" x14ac:dyDescent="0.25">
      <c r="A160" s="24"/>
      <c r="B160" s="25" t="s">
        <v>279</v>
      </c>
      <c r="C160" s="88">
        <v>428</v>
      </c>
      <c r="D160" s="26"/>
      <c r="E160" s="26"/>
      <c r="F160" s="26">
        <v>1800</v>
      </c>
      <c r="G160" s="26">
        <f t="shared" si="54"/>
        <v>1800</v>
      </c>
      <c r="H160" s="26">
        <f>G160</f>
        <v>1800</v>
      </c>
      <c r="I160" s="26">
        <f t="shared" si="55"/>
        <v>0</v>
      </c>
      <c r="J160" s="27"/>
      <c r="K160" s="27"/>
      <c r="L160" s="30"/>
    </row>
    <row r="161" spans="1:12" s="22" customFormat="1" x14ac:dyDescent="0.25">
      <c r="A161" s="24"/>
      <c r="B161" s="25" t="s">
        <v>282</v>
      </c>
      <c r="C161" s="88"/>
      <c r="D161" s="26"/>
      <c r="E161" s="26"/>
      <c r="F161" s="26"/>
      <c r="G161" s="26">
        <f t="shared" si="54"/>
        <v>0</v>
      </c>
      <c r="H161" s="26"/>
      <c r="I161" s="26">
        <f t="shared" si="55"/>
        <v>0</v>
      </c>
      <c r="J161" s="27"/>
      <c r="K161" s="27"/>
      <c r="L161" s="30"/>
    </row>
    <row r="162" spans="1:12" s="38" customFormat="1" x14ac:dyDescent="0.25">
      <c r="A162" s="36"/>
      <c r="B162" s="122" t="s">
        <v>280</v>
      </c>
      <c r="C162" s="123"/>
      <c r="D162" s="124"/>
      <c r="E162" s="124"/>
      <c r="F162" s="124">
        <v>10000</v>
      </c>
      <c r="G162" s="124">
        <f t="shared" si="54"/>
        <v>10000</v>
      </c>
      <c r="H162" s="124"/>
      <c r="I162" s="124">
        <f t="shared" si="55"/>
        <v>10000</v>
      </c>
      <c r="J162" s="37">
        <f>I162</f>
        <v>10000</v>
      </c>
      <c r="K162" s="37"/>
      <c r="L162" s="125"/>
    </row>
    <row r="163" spans="1:12" s="38" customFormat="1" x14ac:dyDescent="0.25">
      <c r="A163" s="36"/>
      <c r="B163" s="122" t="s">
        <v>283</v>
      </c>
      <c r="C163" s="123"/>
      <c r="D163" s="124"/>
      <c r="E163" s="124"/>
      <c r="F163" s="124">
        <v>550000</v>
      </c>
      <c r="G163" s="124">
        <f t="shared" si="54"/>
        <v>550000</v>
      </c>
      <c r="H163" s="124"/>
      <c r="I163" s="124">
        <f t="shared" si="55"/>
        <v>550000</v>
      </c>
      <c r="J163" s="37">
        <f>I163</f>
        <v>550000</v>
      </c>
      <c r="K163" s="37"/>
      <c r="L163" s="125"/>
    </row>
    <row r="164" spans="1:12" s="22" customFormat="1" ht="31.5" x14ac:dyDescent="0.25">
      <c r="A164" s="24"/>
      <c r="B164" s="25" t="s">
        <v>292</v>
      </c>
      <c r="C164" s="88">
        <v>292</v>
      </c>
      <c r="D164" s="26"/>
      <c r="E164" s="26"/>
      <c r="F164" s="26">
        <f>357000+422000+377000</f>
        <v>1156000</v>
      </c>
      <c r="G164" s="27">
        <f>SUM(D164:F164)</f>
        <v>1156000</v>
      </c>
      <c r="H164" s="27">
        <f>G164</f>
        <v>1156000</v>
      </c>
      <c r="I164" s="27">
        <f>G164-H164</f>
        <v>0</v>
      </c>
      <c r="J164" s="27"/>
      <c r="K164" s="27"/>
      <c r="L164" s="30"/>
    </row>
    <row r="165" spans="1:12" s="22" customFormat="1" x14ac:dyDescent="0.25">
      <c r="A165" s="24"/>
      <c r="B165" s="25" t="s">
        <v>298</v>
      </c>
      <c r="C165" s="88"/>
      <c r="D165" s="26"/>
      <c r="E165" s="26"/>
      <c r="F165" s="26">
        <v>7590</v>
      </c>
      <c r="G165" s="27">
        <f>SUM(D165:F165)</f>
        <v>7590</v>
      </c>
      <c r="H165" s="27">
        <f>G165</f>
        <v>7590</v>
      </c>
      <c r="I165" s="27">
        <f>G165-H165</f>
        <v>0</v>
      </c>
      <c r="J165" s="27"/>
      <c r="K165" s="27"/>
      <c r="L165" s="30"/>
    </row>
    <row r="166" spans="1:12" s="2" customFormat="1" x14ac:dyDescent="0.25">
      <c r="A166" s="61"/>
      <c r="B166" s="63" t="s">
        <v>301</v>
      </c>
      <c r="C166" s="63"/>
      <c r="D166" s="27"/>
      <c r="E166" s="27">
        <v>5613080</v>
      </c>
      <c r="F166" s="27"/>
      <c r="G166" s="27">
        <f>SUM(D166:F166)</f>
        <v>5613080</v>
      </c>
      <c r="H166" s="27">
        <f>G166</f>
        <v>5613080</v>
      </c>
      <c r="I166" s="27">
        <f>G166-H166</f>
        <v>0</v>
      </c>
      <c r="J166" s="27"/>
      <c r="K166" s="27"/>
    </row>
    <row r="167" spans="1:12" s="2" customFormat="1" x14ac:dyDescent="0.25">
      <c r="A167" s="94"/>
      <c r="B167" s="95" t="s">
        <v>315</v>
      </c>
      <c r="C167" s="95"/>
      <c r="D167" s="96"/>
      <c r="E167" s="96"/>
      <c r="F167" s="96">
        <f>L153-SUM(G154:G166)</f>
        <v>3592410</v>
      </c>
      <c r="G167" s="96">
        <f>SUM(D167:F167)</f>
        <v>3592410</v>
      </c>
      <c r="H167" s="96">
        <v>3526140</v>
      </c>
      <c r="I167" s="96">
        <f>G167-H167</f>
        <v>66270</v>
      </c>
      <c r="J167" s="96">
        <f>I167</f>
        <v>66270</v>
      </c>
      <c r="K167" s="96"/>
    </row>
    <row r="168" spans="1:12" ht="16.5" x14ac:dyDescent="0.25">
      <c r="A168" s="74"/>
      <c r="B168" s="9"/>
      <c r="C168" s="9"/>
    </row>
    <row r="169" spans="1:12" ht="16.5" x14ac:dyDescent="0.25">
      <c r="A169" s="74"/>
      <c r="B169" s="9"/>
      <c r="C169" s="9"/>
    </row>
    <row r="170" spans="1:12" ht="16.5" x14ac:dyDescent="0.25">
      <c r="A170" s="74"/>
      <c r="B170" s="9"/>
      <c r="C170" s="9"/>
    </row>
    <row r="171" spans="1:12" ht="16.5" x14ac:dyDescent="0.25">
      <c r="A171" s="74"/>
      <c r="B171" s="9"/>
      <c r="C171" s="9"/>
      <c r="D171" s="13"/>
      <c r="E171" s="13"/>
      <c r="F171" s="13"/>
      <c r="G171" s="13"/>
      <c r="H171" s="13"/>
      <c r="I171" s="13"/>
      <c r="J171" s="13"/>
      <c r="K171" s="13"/>
    </row>
    <row r="172" spans="1:12" ht="16.5" x14ac:dyDescent="0.25">
      <c r="A172" s="77"/>
      <c r="B172" s="78"/>
      <c r="C172" s="78"/>
      <c r="D172" s="13"/>
      <c r="E172" s="13"/>
      <c r="F172" s="13"/>
      <c r="G172" s="13"/>
      <c r="H172" s="13"/>
      <c r="I172" s="13"/>
      <c r="J172" s="13"/>
      <c r="K172" s="13"/>
    </row>
  </sheetData>
  <mergeCells count="11">
    <mergeCell ref="L6:L7"/>
    <mergeCell ref="A3:J3"/>
    <mergeCell ref="A4:J4"/>
    <mergeCell ref="D5:J5"/>
    <mergeCell ref="A6:A7"/>
    <mergeCell ref="B6:B7"/>
    <mergeCell ref="C6:C7"/>
    <mergeCell ref="D6:G6"/>
    <mergeCell ref="H6:H7"/>
    <mergeCell ref="I6:I7"/>
    <mergeCell ref="J6:K6"/>
  </mergeCells>
  <pageMargins left="0.7" right="0.7" top="0.75" bottom="0.75" header="0.3" footer="0.3"/>
  <pageSetup orientation="portrait" verticalDpi="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C9" sqref="C9"/>
    </sheetView>
  </sheetViews>
  <sheetFormatPr defaultRowHeight="15.75" x14ac:dyDescent="0.25"/>
  <cols>
    <col min="1" max="1" width="4.5" style="115" bestFit="1" customWidth="1"/>
    <col min="2" max="2" width="40.25" style="159" customWidth="1"/>
    <col min="3" max="3" width="14.875" style="115" bestFit="1" customWidth="1"/>
    <col min="4" max="4" width="7.25" style="115" customWidth="1"/>
    <col min="5" max="5" width="8.5" style="115" bestFit="1" customWidth="1"/>
    <col min="6" max="6" width="7.875" style="115" customWidth="1"/>
    <col min="7" max="7" width="10.375" style="115" customWidth="1"/>
    <col min="8" max="16384" width="9" style="115"/>
  </cols>
  <sheetData>
    <row r="1" spans="1:8" x14ac:dyDescent="0.25">
      <c r="A1" s="242" t="s">
        <v>444</v>
      </c>
    </row>
    <row r="2" spans="1:8" x14ac:dyDescent="0.25">
      <c r="A2" s="242" t="s">
        <v>445</v>
      </c>
    </row>
    <row r="4" spans="1:8" x14ac:dyDescent="0.25">
      <c r="A4" s="330" t="s">
        <v>446</v>
      </c>
      <c r="B4" s="330"/>
      <c r="C4" s="330"/>
      <c r="D4" s="330"/>
      <c r="E4" s="330"/>
      <c r="F4" s="330"/>
      <c r="G4" s="330"/>
    </row>
    <row r="5" spans="1:8" x14ac:dyDescent="0.25">
      <c r="A5" s="331" t="s">
        <v>447</v>
      </c>
      <c r="B5" s="331"/>
      <c r="C5" s="331"/>
      <c r="D5" s="331"/>
      <c r="E5" s="331"/>
      <c r="F5" s="331"/>
      <c r="G5" s="331"/>
    </row>
    <row r="6" spans="1:8" x14ac:dyDescent="0.25">
      <c r="G6" s="186" t="s">
        <v>448</v>
      </c>
    </row>
    <row r="7" spans="1:8" s="244" customFormat="1" ht="47.25" x14ac:dyDescent="0.25">
      <c r="A7" s="243" t="s">
        <v>299</v>
      </c>
      <c r="B7" s="243" t="s">
        <v>2</v>
      </c>
      <c r="C7" s="243" t="s">
        <v>449</v>
      </c>
      <c r="D7" s="243" t="s">
        <v>450</v>
      </c>
      <c r="E7" s="243" t="s">
        <v>451</v>
      </c>
      <c r="F7" s="243" t="s">
        <v>452</v>
      </c>
      <c r="G7" s="243" t="s">
        <v>173</v>
      </c>
    </row>
    <row r="8" spans="1:8" s="111" customFormat="1" x14ac:dyDescent="0.25">
      <c r="A8" s="157"/>
      <c r="B8" s="245" t="s">
        <v>180</v>
      </c>
      <c r="C8" s="157"/>
      <c r="D8" s="158">
        <f>7667</f>
        <v>7667</v>
      </c>
      <c r="E8" s="246">
        <f>E9+E11+E13+E14</f>
        <v>4178.34</v>
      </c>
      <c r="F8" s="246">
        <f>D8-E8</f>
        <v>3488.66</v>
      </c>
      <c r="G8" s="157"/>
      <c r="H8" s="247"/>
    </row>
    <row r="9" spans="1:8" s="113" customFormat="1" ht="31.5" x14ac:dyDescent="0.25">
      <c r="A9" s="248" t="s">
        <v>6</v>
      </c>
      <c r="B9" s="249" t="s">
        <v>453</v>
      </c>
      <c r="C9" s="248"/>
      <c r="D9" s="250"/>
      <c r="E9" s="250">
        <f>E10</f>
        <v>177.9</v>
      </c>
      <c r="F9" s="250"/>
      <c r="G9" s="248"/>
      <c r="H9" s="251"/>
    </row>
    <row r="10" spans="1:8" ht="31.5" x14ac:dyDescent="0.25">
      <c r="A10" s="114">
        <v>1</v>
      </c>
      <c r="B10" s="116" t="s">
        <v>454</v>
      </c>
      <c r="C10" s="197" t="s">
        <v>455</v>
      </c>
      <c r="D10" s="114"/>
      <c r="E10" s="150">
        <v>177.9</v>
      </c>
      <c r="F10" s="114"/>
      <c r="G10" s="252" t="s">
        <v>456</v>
      </c>
    </row>
    <row r="11" spans="1:8" s="113" customFormat="1" ht="31.5" x14ac:dyDescent="0.25">
      <c r="A11" s="112" t="s">
        <v>87</v>
      </c>
      <c r="B11" s="253" t="s">
        <v>457</v>
      </c>
      <c r="C11" s="254"/>
      <c r="D11" s="112"/>
      <c r="E11" s="147">
        <f>E12</f>
        <v>465.84</v>
      </c>
      <c r="F11" s="112"/>
      <c r="G11" s="255"/>
    </row>
    <row r="12" spans="1:8" ht="31.5" x14ac:dyDescent="0.25">
      <c r="A12" s="114">
        <v>1</v>
      </c>
      <c r="B12" s="116" t="s">
        <v>458</v>
      </c>
      <c r="C12" s="197" t="s">
        <v>459</v>
      </c>
      <c r="D12" s="114"/>
      <c r="E12" s="114">
        <v>465.84</v>
      </c>
      <c r="F12" s="114"/>
      <c r="G12" s="252" t="s">
        <v>460</v>
      </c>
    </row>
    <row r="13" spans="1:8" s="113" customFormat="1" ht="31.5" x14ac:dyDescent="0.25">
      <c r="A13" s="112" t="s">
        <v>121</v>
      </c>
      <c r="B13" s="253" t="s">
        <v>461</v>
      </c>
      <c r="C13" s="197" t="s">
        <v>462</v>
      </c>
      <c r="D13" s="112"/>
      <c r="E13" s="147">
        <v>632</v>
      </c>
      <c r="F13" s="112"/>
      <c r="G13" s="252" t="s">
        <v>463</v>
      </c>
    </row>
    <row r="14" spans="1:8" s="113" customFormat="1" x14ac:dyDescent="0.25">
      <c r="A14" s="112" t="s">
        <v>144</v>
      </c>
      <c r="B14" s="253" t="s">
        <v>464</v>
      </c>
      <c r="C14" s="197"/>
      <c r="D14" s="112"/>
      <c r="E14" s="256">
        <f>SUM(E15:E17)</f>
        <v>2902.6</v>
      </c>
      <c r="F14" s="112"/>
      <c r="G14" s="252"/>
    </row>
    <row r="15" spans="1:8" ht="31.5" x14ac:dyDescent="0.25">
      <c r="A15" s="114">
        <v>4</v>
      </c>
      <c r="B15" s="116" t="s">
        <v>465</v>
      </c>
      <c r="C15" s="197" t="s">
        <v>466</v>
      </c>
      <c r="D15" s="114"/>
      <c r="E15" s="257">
        <v>1873</v>
      </c>
      <c r="F15" s="114"/>
      <c r="G15" s="252" t="s">
        <v>467</v>
      </c>
    </row>
    <row r="16" spans="1:8" ht="22.5" x14ac:dyDescent="0.25">
      <c r="A16" s="114">
        <v>5</v>
      </c>
      <c r="B16" s="116" t="s">
        <v>468</v>
      </c>
      <c r="C16" s="197" t="s">
        <v>469</v>
      </c>
      <c r="D16" s="114"/>
      <c r="E16" s="114">
        <v>463.6</v>
      </c>
      <c r="F16" s="114"/>
      <c r="G16" s="252" t="s">
        <v>470</v>
      </c>
    </row>
    <row r="17" spans="1:7" ht="31.5" x14ac:dyDescent="0.25">
      <c r="A17" s="118">
        <v>6</v>
      </c>
      <c r="B17" s="258" t="s">
        <v>471</v>
      </c>
      <c r="C17" s="259" t="s">
        <v>472</v>
      </c>
      <c r="D17" s="118"/>
      <c r="E17" s="118">
        <v>566</v>
      </c>
      <c r="F17" s="118"/>
      <c r="G17" s="260" t="s">
        <v>473</v>
      </c>
    </row>
  </sheetData>
  <mergeCells count="2">
    <mergeCell ref="A4:G4"/>
    <mergeCell ref="A5:G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TỔNG HỢP</vt:lpstr>
      <vt:lpstr>PHÂN BỔ (Kèm TTr)</vt:lpstr>
      <vt:lpstr>PHÂN BỔ (Kèm NQ)</vt:lpstr>
      <vt:lpstr>KHÔNG TỰ CHỦ</vt:lpstr>
      <vt:lpstr>SNGD</vt:lpstr>
      <vt:lpstr>BSMT XÃ</vt:lpstr>
      <vt:lpstr>DỰ PHÒNG</vt:lpstr>
      <vt:lpstr>'PHÂN BỔ (Kèm NQ)'!Print_Titles</vt:lpstr>
      <vt:lpstr>'PHÂN BỔ (Kèm TTr)'!Print_Titles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Hoàng Liên</dc:creator>
  <cp:lastModifiedBy>Admin</cp:lastModifiedBy>
  <cp:lastPrinted>2024-09-11T02:15:36Z</cp:lastPrinted>
  <dcterms:created xsi:type="dcterms:W3CDTF">2023-07-27T09:37:34Z</dcterms:created>
  <dcterms:modified xsi:type="dcterms:W3CDTF">2024-09-12T07:09:40Z</dcterms:modified>
</cp:coreProperties>
</file>